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0"/>
  </bookViews>
  <sheets>
    <sheet name="Implements ABC Analyses" sheetId="1" r:id="rId1"/>
    <sheet name="Baler Analysis" sheetId="2" r:id="rId2"/>
    <sheet name="PowerUnit" sheetId="3" r:id="rId3"/>
  </sheets>
  <definedNames>
    <definedName name="_xlnm.Print_Area" localSheetId="0">'Implements ABC Analyses'!$A$1:$H$67</definedName>
  </definedNames>
  <calcPr fullCalcOnLoad="1" iterate="1" iterateCount="3" iterateDelta="0.001"/>
</workbook>
</file>

<file path=xl/sharedStrings.xml><?xml version="1.0" encoding="utf-8"?>
<sst xmlns="http://schemas.openxmlformats.org/spreadsheetml/2006/main" count="185" uniqueCount="134">
  <si>
    <t>Gray Shaded Blocks =</t>
  </si>
  <si>
    <t>Formulas</t>
  </si>
  <si>
    <t>Input Data Blocks = white</t>
  </si>
  <si>
    <t>Joint Venture</t>
  </si>
  <si>
    <t>Baler Option</t>
  </si>
  <si>
    <t>WF 100%</t>
  </si>
  <si>
    <t>(low tons)</t>
  </si>
  <si>
    <t>(high tons)</t>
  </si>
  <si>
    <t>Make &amp; Model</t>
  </si>
  <si>
    <t>Vermeer</t>
  </si>
  <si>
    <t>Hesston</t>
  </si>
  <si>
    <r>
      <t>Year - New(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)/Used(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)</t>
    </r>
  </si>
  <si>
    <t>Purchase Price</t>
  </si>
  <si>
    <t>Hay Raised/Baled</t>
  </si>
  <si>
    <t>Tons/Year</t>
  </si>
  <si>
    <t>Bales/Yr</t>
  </si>
  <si>
    <t>Labor Costs</t>
  </si>
  <si>
    <t>Cost/Hour-BalerOper</t>
  </si>
  <si>
    <t>Cost/Hour-Haulers</t>
  </si>
  <si>
    <t>Baling Efficiency</t>
  </si>
  <si>
    <t>Bales/Hour</t>
  </si>
  <si>
    <t>Tons/Hour</t>
  </si>
  <si>
    <t>Baler Hours/Ton</t>
  </si>
  <si>
    <t>Tractor Hours/Ton</t>
  </si>
  <si>
    <t>Labor Hours/Ton</t>
  </si>
  <si>
    <t>Hauling:</t>
  </si>
  <si>
    <t>Bales/Load</t>
  </si>
  <si>
    <t>Tons Hauled/Load</t>
  </si>
  <si>
    <t>Truck Cost/Hour*</t>
  </si>
  <si>
    <t># Hours/Load</t>
  </si>
  <si>
    <t>Truck Hours/Ton</t>
  </si>
  <si>
    <t>Loader Tractor Cst/hr*</t>
  </si>
  <si>
    <t>Loader Tractor Hrs/Ton</t>
  </si>
  <si>
    <t>Repairs &amp; Supplies</t>
  </si>
  <si>
    <t>Repair Cost/Bale</t>
  </si>
  <si>
    <t>Repair Costs/Year</t>
  </si>
  <si>
    <t>Cost Twine/Bale</t>
  </si>
  <si>
    <t>Depreciation Exp:</t>
  </si>
  <si>
    <t>Beginning Value</t>
  </si>
  <si>
    <t>Ending Value</t>
  </si>
  <si>
    <t>Number Years Use</t>
  </si>
  <si>
    <t>Depreciation/Year</t>
  </si>
  <si>
    <t>Interest Expense</t>
  </si>
  <si>
    <t>Average Investment</t>
  </si>
  <si>
    <t>Interest Rate</t>
  </si>
  <si>
    <t>Annual Interest Cost</t>
  </si>
  <si>
    <t>Cost Summary</t>
  </si>
  <si>
    <t>Cost/Ton</t>
  </si>
  <si>
    <t>Labor-Baling</t>
  </si>
  <si>
    <t>Baler Tractor</t>
  </si>
  <si>
    <t>Repairs</t>
  </si>
  <si>
    <t>Supplies - Twine</t>
  </si>
  <si>
    <t>Interest-Baler Ave Invmt</t>
  </si>
  <si>
    <t>Depreciation</t>
  </si>
  <si>
    <t xml:space="preserve">   Total Baling Cost/T</t>
  </si>
  <si>
    <t>Labor-Hauling</t>
  </si>
  <si>
    <t>Load/Unload Tractor</t>
  </si>
  <si>
    <t>Truck Costs-Hauling</t>
  </si>
  <si>
    <r>
      <t xml:space="preserve">   </t>
    </r>
    <r>
      <rPr>
        <b/>
        <sz val="10"/>
        <rFont val="Arial"/>
        <family val="2"/>
      </rPr>
      <t>Total Haul Cost/Ton</t>
    </r>
  </si>
  <si>
    <r>
      <t xml:space="preserve">   </t>
    </r>
    <r>
      <rPr>
        <b/>
        <sz val="10"/>
        <rFont val="Arial"/>
        <family val="2"/>
      </rPr>
      <t>Total Bale &amp; Haul/T</t>
    </r>
  </si>
  <si>
    <t xml:space="preserve">   Total Cost/Year</t>
  </si>
  <si>
    <t>1993 N</t>
  </si>
  <si>
    <t>Large Scale Commercial</t>
  </si>
  <si>
    <t>Hay Operation - Baling Only</t>
  </si>
  <si>
    <t>Used Baler</t>
  </si>
  <si>
    <t>New Baler</t>
  </si>
  <si>
    <t xml:space="preserve">Tractor Cost/Hr** </t>
  </si>
  <si>
    <t>#/Bale*</t>
  </si>
  <si>
    <r>
      <t xml:space="preserve">     **</t>
    </r>
    <r>
      <rPr>
        <i/>
        <sz val="8"/>
        <rFont val="Arial"/>
        <family val="2"/>
      </rPr>
      <t>Implement costs/hr include fuel, lubrication, etc.</t>
    </r>
  </si>
  <si>
    <r>
      <t xml:space="preserve"> *</t>
    </r>
    <r>
      <rPr>
        <i/>
        <sz val="8"/>
        <rFont val="Arial"/>
        <family val="2"/>
      </rPr>
      <t>Square Bale Size: 3x4x8</t>
    </r>
  </si>
  <si>
    <t>Bales/Box - Roll Twine</t>
  </si>
  <si>
    <t>***@1100#/bale and 3x4x8' dimension -&gt; uses 132'/bale or 240'/ton.  At 4850'/roll =&gt; yield 20T/roll.</t>
  </si>
  <si>
    <t>Twine Costs/Box***</t>
  </si>
  <si>
    <t>Equip Option</t>
  </si>
  <si>
    <t>Operating Efficiency</t>
  </si>
  <si>
    <t>Acres/year</t>
  </si>
  <si>
    <t>Implement Speed</t>
  </si>
  <si>
    <t>Efficiency %</t>
  </si>
  <si>
    <t>Annual Hrs of Use</t>
  </si>
  <si>
    <t>Acres/Hour</t>
  </si>
  <si>
    <t>Tractor Costs</t>
  </si>
  <si>
    <t>Tractor Hours/Ac</t>
  </si>
  <si>
    <t>Fuel consumption/Hr.</t>
  </si>
  <si>
    <t>Unit of Measurement</t>
  </si>
  <si>
    <t>gal</t>
  </si>
  <si>
    <t>Cost/Hr-Operator</t>
  </si>
  <si>
    <t>Cost/Hr-Support Pers</t>
  </si>
  <si>
    <t>Fuel Cost/Acre</t>
  </si>
  <si>
    <t>Tractor Cost/Acre</t>
  </si>
  <si>
    <t>Support Operations</t>
  </si>
  <si>
    <t>Cost/Hr of Operation</t>
  </si>
  <si>
    <t>Cost/Acre</t>
  </si>
  <si>
    <t>Product 1</t>
  </si>
  <si>
    <t>Seed Truck</t>
  </si>
  <si>
    <t>Support hrs/Acre</t>
  </si>
  <si>
    <t>Product 2</t>
  </si>
  <si>
    <t>NH3+Dry+Sol</t>
  </si>
  <si>
    <t>Repair Cost/Year</t>
  </si>
  <si>
    <t>Repair Costs/Acre</t>
  </si>
  <si>
    <t>45' Flex Drill</t>
  </si>
  <si>
    <t>New</t>
  </si>
  <si>
    <t>Labor-Oper + Support</t>
  </si>
  <si>
    <t>Total Labor Cost/Acre</t>
  </si>
  <si>
    <t>Tractor</t>
  </si>
  <si>
    <t>Fuel</t>
  </si>
  <si>
    <t>Interest Costs</t>
  </si>
  <si>
    <t xml:space="preserve">   Total Cost/Acre</t>
  </si>
  <si>
    <t>Insurance</t>
  </si>
  <si>
    <t>Annual Insur &amp; Housing</t>
  </si>
  <si>
    <t>Insurance &amp; Housing</t>
  </si>
  <si>
    <t>Custom Rate/Acre</t>
  </si>
  <si>
    <t>Savings vs Custom Hire</t>
  </si>
  <si>
    <t>Total Savings</t>
  </si>
  <si>
    <t>Cost/Unit of Fuel</t>
  </si>
  <si>
    <t>Tractor Cost/Hr</t>
  </si>
  <si>
    <t>Fuel cost/Hour</t>
  </si>
  <si>
    <t>80' Air Sprayer</t>
  </si>
  <si>
    <t>Used</t>
  </si>
  <si>
    <t>Implement Width-ft</t>
  </si>
  <si>
    <t>Water Tk &amp; chem</t>
  </si>
  <si>
    <t>Cost/Acre - Prod 1</t>
  </si>
  <si>
    <t>Cost/Acre - Prod 2</t>
  </si>
  <si>
    <t xml:space="preserve">   Total Costs/Hour</t>
  </si>
  <si>
    <t>26' Schulte Mower</t>
  </si>
  <si>
    <t>Moving, service</t>
  </si>
  <si>
    <t>Tractors/Hr of Baling</t>
  </si>
  <si>
    <t>Round Bale-&gt;</t>
  </si>
  <si>
    <t>Savings/Ton</t>
  </si>
  <si>
    <t>Custom Hire Rate:</t>
  </si>
  <si>
    <t>per ton</t>
  </si>
  <si>
    <t>$ Savings</t>
  </si>
  <si>
    <t>(see file: "BEP-Multiple Items") - combine and tractor comparisons - under Capital Investment Analysis Models</t>
  </si>
  <si>
    <t xml:space="preserve">Activity Based Costing Analysis - Implement Cases </t>
  </si>
  <si>
    <t>Self Prop Sprayer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</si>
</sst>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170" fontId="0" fillId="0" borderId="10" xfId="44" applyFont="1" applyBorder="1" applyAlignment="1">
      <alignment/>
    </xf>
    <xf numFmtId="1" fontId="0" fillId="33" borderId="0" xfId="0" applyNumberFormat="1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67" fontId="0" fillId="0" borderId="0" xfId="44" applyNumberFormat="1" applyFont="1" applyAlignment="1">
      <alignment/>
    </xf>
    <xf numFmtId="167" fontId="0" fillId="0" borderId="10" xfId="44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172" fontId="0" fillId="33" borderId="10" xfId="0" applyNumberFormat="1" applyFont="1" applyFill="1" applyBorder="1" applyAlignment="1">
      <alignment/>
    </xf>
    <xf numFmtId="170" fontId="0" fillId="0" borderId="0" xfId="44" applyFont="1" applyFill="1" applyAlignment="1">
      <alignment/>
    </xf>
    <xf numFmtId="170" fontId="0" fillId="0" borderId="10" xfId="44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173" fontId="0" fillId="33" borderId="10" xfId="0" applyNumberFormat="1" applyFont="1" applyFill="1" applyBorder="1" applyAlignment="1">
      <alignment/>
    </xf>
    <xf numFmtId="170" fontId="0" fillId="33" borderId="0" xfId="44" applyFont="1" applyFill="1" applyAlignment="1">
      <alignment/>
    </xf>
    <xf numFmtId="170" fontId="0" fillId="33" borderId="10" xfId="44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0" fillId="0" borderId="10" xfId="42" applyNumberFormat="1" applyFont="1" applyFill="1" applyBorder="1" applyAlignment="1">
      <alignment/>
    </xf>
    <xf numFmtId="170" fontId="0" fillId="33" borderId="0" xfId="0" applyNumberFormat="1" applyFont="1" applyFill="1" applyAlignment="1">
      <alignment/>
    </xf>
    <xf numFmtId="170" fontId="0" fillId="33" borderId="10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0" fontId="0" fillId="0" borderId="14" xfId="0" applyFont="1" applyBorder="1" applyAlignment="1">
      <alignment/>
    </xf>
    <xf numFmtId="170" fontId="0" fillId="33" borderId="14" xfId="44" applyFont="1" applyFill="1" applyBorder="1" applyAlignment="1">
      <alignment/>
    </xf>
    <xf numFmtId="170" fontId="0" fillId="33" borderId="15" xfId="44" applyFont="1" applyFill="1" applyBorder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70" fontId="4" fillId="33" borderId="0" xfId="44" applyFont="1" applyFill="1" applyAlignment="1">
      <alignment/>
    </xf>
    <xf numFmtId="170" fontId="4" fillId="33" borderId="10" xfId="44" applyFont="1" applyFill="1" applyBorder="1" applyAlignment="1">
      <alignment/>
    </xf>
    <xf numFmtId="0" fontId="2" fillId="0" borderId="0" xfId="0" applyFont="1" applyAlignment="1">
      <alignment/>
    </xf>
    <xf numFmtId="170" fontId="2" fillId="33" borderId="0" xfId="0" applyNumberFormat="1" applyFont="1" applyFill="1" applyAlignment="1">
      <alignment/>
    </xf>
    <xf numFmtId="170" fontId="2" fillId="33" borderId="1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0" fontId="0" fillId="36" borderId="0" xfId="0" applyFont="1" applyFill="1" applyAlignment="1" quotePrefix="1">
      <alignment/>
    </xf>
    <xf numFmtId="0" fontId="0" fillId="36" borderId="0" xfId="0" applyFont="1" applyFill="1" applyAlignment="1" quotePrefix="1">
      <alignment horizontal="righ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 quotePrefix="1">
      <alignment/>
    </xf>
    <xf numFmtId="170" fontId="0" fillId="0" borderId="0" xfId="44" applyFont="1" applyAlignment="1">
      <alignment horizontal="right"/>
    </xf>
    <xf numFmtId="0" fontId="0" fillId="0" borderId="0" xfId="0" applyFont="1" applyAlignment="1" quotePrefix="1">
      <alignment horizontal="right"/>
    </xf>
    <xf numFmtId="179" fontId="0" fillId="0" borderId="0" xfId="44" applyNumberFormat="1" applyFont="1" applyAlignment="1">
      <alignment/>
    </xf>
    <xf numFmtId="179" fontId="0" fillId="33" borderId="0" xfId="0" applyNumberFormat="1" applyFont="1" applyFill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33" borderId="0" xfId="44" applyNumberFormat="1" applyFont="1" applyFill="1" applyAlignment="1">
      <alignment/>
    </xf>
    <xf numFmtId="179" fontId="0" fillId="33" borderId="10" xfId="44" applyNumberFormat="1" applyFont="1" applyFill="1" applyBorder="1" applyAlignment="1">
      <alignment/>
    </xf>
    <xf numFmtId="10" fontId="0" fillId="0" borderId="0" xfId="57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79" fontId="0" fillId="0" borderId="10" xfId="44" applyNumberFormat="1" applyFont="1" applyBorder="1" applyAlignment="1">
      <alignment/>
    </xf>
    <xf numFmtId="170" fontId="2" fillId="33" borderId="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70" fontId="6" fillId="0" borderId="0" xfId="44" applyFont="1" applyAlignment="1">
      <alignment/>
    </xf>
    <xf numFmtId="170" fontId="6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" sqref="H1"/>
    </sheetView>
  </sheetViews>
  <sheetFormatPr defaultColWidth="11.7109375" defaultRowHeight="15" customHeight="1"/>
  <cols>
    <col min="1" max="1" width="19.7109375" style="1" customWidth="1"/>
    <col min="2" max="2" width="16.28125" style="1" customWidth="1"/>
    <col min="3" max="3" width="15.7109375" style="1" customWidth="1"/>
    <col min="4" max="4" width="16.00390625" style="1" customWidth="1"/>
    <col min="5" max="5" width="11.7109375" style="1" hidden="1" customWidth="1"/>
    <col min="6" max="6" width="11.7109375" style="2" hidden="1" customWidth="1"/>
    <col min="7" max="7" width="11.7109375" style="1" hidden="1" customWidth="1"/>
    <col min="8" max="8" width="15.7109375" style="1" customWidth="1"/>
    <col min="9" max="16384" width="11.7109375" style="1" customWidth="1"/>
  </cols>
  <sheetData>
    <row r="1" spans="1:4" ht="15" customHeight="1">
      <c r="A1" s="72" t="s">
        <v>132</v>
      </c>
      <c r="B1" s="72"/>
      <c r="C1" s="72"/>
      <c r="D1" s="72"/>
    </row>
    <row r="2" ht="15" customHeight="1">
      <c r="F2" s="1"/>
    </row>
    <row r="3" spans="1:12" ht="15" customHeight="1">
      <c r="A3" s="7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>
      <c r="A4" s="1" t="s">
        <v>8</v>
      </c>
      <c r="B4" s="57" t="s">
        <v>99</v>
      </c>
      <c r="C4" s="57" t="s">
        <v>116</v>
      </c>
      <c r="D4" s="57" t="s">
        <v>123</v>
      </c>
      <c r="E4" s="6"/>
      <c r="F4" s="9"/>
      <c r="G4" s="10"/>
      <c r="H4" s="6" t="s">
        <v>133</v>
      </c>
      <c r="I4" s="10"/>
      <c r="J4" s="10"/>
      <c r="K4" s="10"/>
      <c r="L4" s="10"/>
    </row>
    <row r="5" spans="1:8" ht="15" customHeight="1">
      <c r="A5" s="1" t="s">
        <v>11</v>
      </c>
      <c r="B5" s="6" t="s">
        <v>100</v>
      </c>
      <c r="C5" s="6" t="s">
        <v>117</v>
      </c>
      <c r="D5" s="6" t="s">
        <v>100</v>
      </c>
      <c r="E5" s="6"/>
      <c r="F5" s="65"/>
      <c r="G5" s="6"/>
      <c r="H5" s="6" t="s">
        <v>117</v>
      </c>
    </row>
    <row r="6" spans="1:8" ht="15" customHeight="1">
      <c r="A6" s="1" t="s">
        <v>12</v>
      </c>
      <c r="B6" s="58">
        <v>170000</v>
      </c>
      <c r="C6" s="58">
        <v>20000</v>
      </c>
      <c r="D6" s="58">
        <v>22500</v>
      </c>
      <c r="E6" s="58"/>
      <c r="F6" s="66"/>
      <c r="G6" s="58"/>
      <c r="H6" s="58">
        <v>150000</v>
      </c>
    </row>
    <row r="7" ht="15" customHeight="1">
      <c r="A7" s="7" t="s">
        <v>74</v>
      </c>
    </row>
    <row r="8" spans="1:8" ht="15" customHeight="1">
      <c r="A8" s="1" t="s">
        <v>75</v>
      </c>
      <c r="B8" s="1">
        <v>5000</v>
      </c>
      <c r="C8" s="1">
        <v>16000</v>
      </c>
      <c r="D8" s="1">
        <v>6000</v>
      </c>
      <c r="H8" s="1">
        <v>16000</v>
      </c>
    </row>
    <row r="9" spans="1:8" ht="15" customHeight="1">
      <c r="A9" s="1" t="s">
        <v>118</v>
      </c>
      <c r="B9" s="1">
        <v>45</v>
      </c>
      <c r="C9" s="1">
        <v>80</v>
      </c>
      <c r="D9" s="1">
        <v>27.5</v>
      </c>
      <c r="H9" s="1">
        <v>100</v>
      </c>
    </row>
    <row r="10" spans="1:8" ht="15" customHeight="1">
      <c r="A10" s="1" t="s">
        <v>76</v>
      </c>
      <c r="B10" s="1">
        <v>5</v>
      </c>
      <c r="C10" s="1">
        <v>8</v>
      </c>
      <c r="D10" s="1">
        <v>7</v>
      </c>
      <c r="H10" s="1">
        <v>12</v>
      </c>
    </row>
    <row r="11" spans="1:8" ht="15" customHeight="1">
      <c r="A11" s="1" t="s">
        <v>77</v>
      </c>
      <c r="B11" s="31">
        <v>0.9</v>
      </c>
      <c r="C11" s="31">
        <v>0.95</v>
      </c>
      <c r="D11" s="31">
        <v>0.9</v>
      </c>
      <c r="E11" s="31"/>
      <c r="F11" s="32"/>
      <c r="G11" s="31"/>
      <c r="H11" s="31">
        <v>0.95</v>
      </c>
    </row>
    <row r="12" spans="1:8" ht="15" customHeight="1">
      <c r="A12" s="1" t="s">
        <v>79</v>
      </c>
      <c r="B12" s="23">
        <f aca="true" t="shared" si="0" ref="B12:H12">+(B9*B10*B11*2)/16.5</f>
        <v>24.545454545454547</v>
      </c>
      <c r="C12" s="23">
        <f t="shared" si="0"/>
        <v>73.6969696969697</v>
      </c>
      <c r="D12" s="23">
        <f t="shared" si="0"/>
        <v>21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138.1818181818182</v>
      </c>
    </row>
    <row r="13" spans="1:8" ht="15" customHeight="1">
      <c r="A13" s="1" t="s">
        <v>78</v>
      </c>
      <c r="B13" s="23">
        <f aca="true" t="shared" si="1" ref="B13:H13">+B8/B12</f>
        <v>203.7037037037037</v>
      </c>
      <c r="C13" s="23">
        <f t="shared" si="1"/>
        <v>217.1052631578947</v>
      </c>
      <c r="D13" s="23">
        <f t="shared" si="1"/>
        <v>285.7142857142857</v>
      </c>
      <c r="E13" s="23" t="e">
        <f t="shared" si="1"/>
        <v>#DIV/0!</v>
      </c>
      <c r="F13" s="23" t="e">
        <f t="shared" si="1"/>
        <v>#DIV/0!</v>
      </c>
      <c r="G13" s="23" t="e">
        <f t="shared" si="1"/>
        <v>#DIV/0!</v>
      </c>
      <c r="H13" s="23">
        <f t="shared" si="1"/>
        <v>115.78947368421052</v>
      </c>
    </row>
    <row r="14" ht="15" customHeight="1">
      <c r="A14" s="7" t="s">
        <v>16</v>
      </c>
    </row>
    <row r="15" spans="1:8" ht="15" customHeight="1">
      <c r="A15" s="1" t="s">
        <v>85</v>
      </c>
      <c r="B15" s="15">
        <v>25</v>
      </c>
      <c r="C15" s="15">
        <v>25</v>
      </c>
      <c r="D15" s="15">
        <v>10</v>
      </c>
      <c r="E15" s="15"/>
      <c r="F15" s="16"/>
      <c r="G15" s="15"/>
      <c r="H15" s="15">
        <v>25</v>
      </c>
    </row>
    <row r="16" spans="1:8" ht="16.5" customHeight="1">
      <c r="A16" s="1" t="s">
        <v>86</v>
      </c>
      <c r="B16" s="11">
        <v>12</v>
      </c>
      <c r="C16" s="11">
        <f>12*0.5</f>
        <v>6</v>
      </c>
      <c r="D16" s="11">
        <v>1</v>
      </c>
      <c r="E16" s="11"/>
      <c r="F16" s="12"/>
      <c r="G16" s="11"/>
      <c r="H16" s="11">
        <f>12*0.5</f>
        <v>6</v>
      </c>
    </row>
    <row r="17" spans="1:8" ht="16.5" customHeight="1">
      <c r="A17" s="1" t="s">
        <v>102</v>
      </c>
      <c r="B17" s="25">
        <f aca="true" t="shared" si="2" ref="B17:H17">+(B15+B16)/B12</f>
        <v>1.5074074074074073</v>
      </c>
      <c r="C17" s="25">
        <f t="shared" si="2"/>
        <v>0.420641447368421</v>
      </c>
      <c r="D17" s="25">
        <f t="shared" si="2"/>
        <v>0.5238095238095238</v>
      </c>
      <c r="E17" s="25" t="e">
        <f t="shared" si="2"/>
        <v>#DIV/0!</v>
      </c>
      <c r="F17" s="25" t="e">
        <f t="shared" si="2"/>
        <v>#DIV/0!</v>
      </c>
      <c r="G17" s="25" t="e">
        <f t="shared" si="2"/>
        <v>#DIV/0!</v>
      </c>
      <c r="H17" s="25">
        <f t="shared" si="2"/>
        <v>0.2243421052631579</v>
      </c>
    </row>
    <row r="18" ht="15" customHeight="1">
      <c r="A18" s="7" t="s">
        <v>80</v>
      </c>
    </row>
    <row r="19" spans="1:8" ht="15" customHeight="1">
      <c r="A19" s="1" t="s">
        <v>114</v>
      </c>
      <c r="B19" s="11">
        <v>55</v>
      </c>
      <c r="C19" s="11">
        <v>40</v>
      </c>
      <c r="D19" s="11">
        <v>40</v>
      </c>
      <c r="E19" s="11"/>
      <c r="F19" s="12"/>
      <c r="G19" s="11"/>
      <c r="H19" s="11">
        <v>0</v>
      </c>
    </row>
    <row r="20" spans="1:8" ht="15" customHeight="1">
      <c r="A20" s="1" t="s">
        <v>81</v>
      </c>
      <c r="B20" s="19">
        <f aca="true" t="shared" si="3" ref="B20:G20">+(1/B12)/B11</f>
        <v>0.04526748971193415</v>
      </c>
      <c r="C20" s="19">
        <f t="shared" si="3"/>
        <v>0.014283240997229916</v>
      </c>
      <c r="D20" s="19">
        <f t="shared" si="3"/>
        <v>0.05291005291005291</v>
      </c>
      <c r="E20" s="19" t="e">
        <f t="shared" si="3"/>
        <v>#DIV/0!</v>
      </c>
      <c r="F20" s="19" t="e">
        <f t="shared" si="3"/>
        <v>#DIV/0!</v>
      </c>
      <c r="G20" s="19" t="e">
        <f t="shared" si="3"/>
        <v>#DIV/0!</v>
      </c>
      <c r="H20" s="19">
        <f>+(1/H12)/H11</f>
        <v>0.007617728531855956</v>
      </c>
    </row>
    <row r="21" spans="1:8" ht="15" customHeight="1">
      <c r="A21" s="1" t="s">
        <v>82</v>
      </c>
      <c r="B21" s="1">
        <v>10</v>
      </c>
      <c r="C21" s="1">
        <v>6</v>
      </c>
      <c r="D21" s="1">
        <v>8</v>
      </c>
      <c r="H21" s="1">
        <v>7</v>
      </c>
    </row>
    <row r="22" spans="1:8" ht="15" customHeight="1">
      <c r="A22" s="1" t="s">
        <v>83</v>
      </c>
      <c r="B22" s="6" t="s">
        <v>84</v>
      </c>
      <c r="C22" s="6" t="s">
        <v>84</v>
      </c>
      <c r="D22" s="6" t="s">
        <v>84</v>
      </c>
      <c r="E22" s="6" t="s">
        <v>84</v>
      </c>
      <c r="F22" s="6" t="s">
        <v>84</v>
      </c>
      <c r="G22" s="6" t="s">
        <v>84</v>
      </c>
      <c r="H22" s="6" t="s">
        <v>84</v>
      </c>
    </row>
    <row r="23" spans="1:8" ht="15" customHeight="1">
      <c r="A23" s="1" t="s">
        <v>113</v>
      </c>
      <c r="B23" s="56">
        <v>2.4</v>
      </c>
      <c r="C23" s="56">
        <v>2.4</v>
      </c>
      <c r="D23" s="56">
        <v>2.4</v>
      </c>
      <c r="E23" s="56">
        <v>2.4</v>
      </c>
      <c r="F23" s="56">
        <v>2.4</v>
      </c>
      <c r="G23" s="56">
        <v>2.4</v>
      </c>
      <c r="H23" s="56">
        <v>2.4</v>
      </c>
    </row>
    <row r="24" spans="1:8" ht="15" customHeight="1">
      <c r="A24" s="1" t="s">
        <v>115</v>
      </c>
      <c r="B24" s="25">
        <f aca="true" t="shared" si="4" ref="B24:H24">+B21*B23</f>
        <v>24</v>
      </c>
      <c r="C24" s="25">
        <f t="shared" si="4"/>
        <v>14.399999999999999</v>
      </c>
      <c r="D24" s="25">
        <f t="shared" si="4"/>
        <v>19.2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16.8</v>
      </c>
    </row>
    <row r="25" spans="1:8" ht="15" customHeight="1">
      <c r="A25" s="1" t="s">
        <v>88</v>
      </c>
      <c r="B25" s="25">
        <f aca="true" t="shared" si="5" ref="B25:G25">+B19*B20</f>
        <v>2.4897119341563783</v>
      </c>
      <c r="C25" s="25">
        <f t="shared" si="5"/>
        <v>0.5713296398891966</v>
      </c>
      <c r="D25" s="25">
        <f t="shared" si="5"/>
        <v>2.1164021164021163</v>
      </c>
      <c r="E25" s="25" t="e">
        <f t="shared" si="5"/>
        <v>#DIV/0!</v>
      </c>
      <c r="F25" s="25" t="e">
        <f t="shared" si="5"/>
        <v>#DIV/0!</v>
      </c>
      <c r="G25" s="25" t="e">
        <f t="shared" si="5"/>
        <v>#DIV/0!</v>
      </c>
      <c r="H25" s="25">
        <f>+H19*H20</f>
        <v>0</v>
      </c>
    </row>
    <row r="26" spans="1:8" ht="15" customHeight="1">
      <c r="A26" s="1" t="s">
        <v>87</v>
      </c>
      <c r="B26" s="25">
        <f aca="true" t="shared" si="6" ref="B26:G26">+B20*B21*B23</f>
        <v>1.0864197530864195</v>
      </c>
      <c r="C26" s="25">
        <f t="shared" si="6"/>
        <v>0.2056786703601108</v>
      </c>
      <c r="D26" s="25">
        <f t="shared" si="6"/>
        <v>1.0158730158730158</v>
      </c>
      <c r="E26" s="25" t="e">
        <f t="shared" si="6"/>
        <v>#DIV/0!</v>
      </c>
      <c r="F26" s="25" t="e">
        <f t="shared" si="6"/>
        <v>#DIV/0!</v>
      </c>
      <c r="G26" s="25" t="e">
        <f t="shared" si="6"/>
        <v>#DIV/0!</v>
      </c>
      <c r="H26" s="25">
        <f>+H20*H21*H23</f>
        <v>0.12797783933518006</v>
      </c>
    </row>
    <row r="27" ht="15" customHeight="1">
      <c r="A27" s="7" t="s">
        <v>89</v>
      </c>
    </row>
    <row r="28" spans="1:8" ht="15" customHeight="1">
      <c r="A28" s="1" t="s">
        <v>92</v>
      </c>
      <c r="B28" s="1" t="s">
        <v>93</v>
      </c>
      <c r="C28" s="1" t="s">
        <v>119</v>
      </c>
      <c r="D28" s="1" t="s">
        <v>124</v>
      </c>
      <c r="H28" s="1" t="s">
        <v>119</v>
      </c>
    </row>
    <row r="29" spans="1:8" ht="15" customHeight="1">
      <c r="A29" s="1" t="s">
        <v>90</v>
      </c>
      <c r="B29" s="11">
        <v>35</v>
      </c>
      <c r="C29" s="1">
        <v>35</v>
      </c>
      <c r="D29" s="1">
        <v>25</v>
      </c>
      <c r="F29" s="1"/>
      <c r="H29" s="1">
        <v>35</v>
      </c>
    </row>
    <row r="30" spans="1:8" ht="15" customHeight="1">
      <c r="A30" s="1" t="s">
        <v>94</v>
      </c>
      <c r="B30" s="11">
        <v>0.16</v>
      </c>
      <c r="C30" s="1">
        <v>0.15</v>
      </c>
      <c r="D30" s="1">
        <v>0.2</v>
      </c>
      <c r="F30" s="1"/>
      <c r="H30" s="1">
        <v>0.15</v>
      </c>
    </row>
    <row r="31" spans="1:8" ht="15" customHeight="1">
      <c r="A31" s="1" t="s">
        <v>120</v>
      </c>
      <c r="B31" s="25">
        <f aca="true" t="shared" si="7" ref="B31:H31">+B30*B29/B$12</f>
        <v>0.22814814814814816</v>
      </c>
      <c r="C31" s="25">
        <f t="shared" si="7"/>
        <v>0.07123766447368421</v>
      </c>
      <c r="D31" s="25">
        <f t="shared" si="7"/>
        <v>0.23809523809523808</v>
      </c>
      <c r="E31" s="25" t="e">
        <f t="shared" si="7"/>
        <v>#DIV/0!</v>
      </c>
      <c r="F31" s="25" t="e">
        <f t="shared" si="7"/>
        <v>#DIV/0!</v>
      </c>
      <c r="G31" s="25" t="e">
        <f t="shared" si="7"/>
        <v>#DIV/0!</v>
      </c>
      <c r="H31" s="25">
        <f t="shared" si="7"/>
        <v>0.03799342105263158</v>
      </c>
    </row>
    <row r="32" spans="1:2" ht="15" customHeight="1">
      <c r="A32" s="1" t="s">
        <v>95</v>
      </c>
      <c r="B32" s="1" t="s">
        <v>96</v>
      </c>
    </row>
    <row r="33" spans="1:6" ht="15" customHeight="1">
      <c r="A33" s="1" t="s">
        <v>90</v>
      </c>
      <c r="B33" s="11">
        <v>60</v>
      </c>
      <c r="F33" s="1"/>
    </row>
    <row r="34" spans="1:6" ht="15" customHeight="1">
      <c r="A34" s="1" t="s">
        <v>94</v>
      </c>
      <c r="B34" s="11">
        <v>0.1</v>
      </c>
      <c r="F34" s="1"/>
    </row>
    <row r="35" spans="1:8" ht="15" customHeight="1">
      <c r="A35" s="1" t="s">
        <v>121</v>
      </c>
      <c r="B35" s="25">
        <f aca="true" t="shared" si="8" ref="B35:H35">+B34*B33/B$12</f>
        <v>0.24444444444444444</v>
      </c>
      <c r="C35" s="25">
        <f t="shared" si="8"/>
        <v>0</v>
      </c>
      <c r="D35" s="25">
        <f t="shared" si="8"/>
        <v>0</v>
      </c>
      <c r="E35" s="25" t="e">
        <f t="shared" si="8"/>
        <v>#DIV/0!</v>
      </c>
      <c r="F35" s="25" t="e">
        <f t="shared" si="8"/>
        <v>#DIV/0!</v>
      </c>
      <c r="G35" s="25" t="e">
        <f t="shared" si="8"/>
        <v>#DIV/0!</v>
      </c>
      <c r="H35" s="25">
        <f t="shared" si="8"/>
        <v>0</v>
      </c>
    </row>
    <row r="36" ht="15" customHeight="1">
      <c r="A36" s="7" t="s">
        <v>33</v>
      </c>
    </row>
    <row r="37" spans="1:8" ht="15" customHeight="1">
      <c r="A37" s="1" t="s">
        <v>97</v>
      </c>
      <c r="B37" s="11">
        <v>3750</v>
      </c>
      <c r="C37" s="11">
        <v>3000</v>
      </c>
      <c r="D37" s="11">
        <v>2000</v>
      </c>
      <c r="E37" s="11">
        <v>0.25</v>
      </c>
      <c r="F37" s="12">
        <v>0.3</v>
      </c>
      <c r="G37" s="11">
        <v>0.2</v>
      </c>
      <c r="H37" s="11">
        <v>6000</v>
      </c>
    </row>
    <row r="38" spans="1:8" ht="15" customHeight="1">
      <c r="A38" s="1" t="s">
        <v>98</v>
      </c>
      <c r="B38" s="25">
        <f aca="true" t="shared" si="9" ref="B38:H38">+B37/B8</f>
        <v>0.75</v>
      </c>
      <c r="C38" s="25">
        <f t="shared" si="9"/>
        <v>0.1875</v>
      </c>
      <c r="D38" s="25">
        <f t="shared" si="9"/>
        <v>0.3333333333333333</v>
      </c>
      <c r="E38" s="25" t="e">
        <f t="shared" si="9"/>
        <v>#DIV/0!</v>
      </c>
      <c r="F38" s="25" t="e">
        <f t="shared" si="9"/>
        <v>#DIV/0!</v>
      </c>
      <c r="G38" s="25" t="e">
        <f t="shared" si="9"/>
        <v>#DIV/0!</v>
      </c>
      <c r="H38" s="25">
        <f t="shared" si="9"/>
        <v>0.375</v>
      </c>
    </row>
    <row r="39" ht="15" customHeight="1">
      <c r="A39" s="7" t="s">
        <v>107</v>
      </c>
    </row>
    <row r="40" spans="1:8" ht="15" customHeight="1">
      <c r="A40" s="1" t="s">
        <v>108</v>
      </c>
      <c r="B40" s="11">
        <v>500</v>
      </c>
      <c r="C40" s="1">
        <v>200</v>
      </c>
      <c r="D40" s="1">
        <v>150</v>
      </c>
      <c r="H40" s="1">
        <v>500</v>
      </c>
    </row>
    <row r="41" spans="1:8" ht="15" customHeight="1">
      <c r="A41" s="1" t="s">
        <v>91</v>
      </c>
      <c r="B41" s="25">
        <f aca="true" t="shared" si="10" ref="B41:H41">+B40/B8</f>
        <v>0.1</v>
      </c>
      <c r="C41" s="25">
        <f t="shared" si="10"/>
        <v>0.0125</v>
      </c>
      <c r="D41" s="25">
        <f t="shared" si="10"/>
        <v>0.025</v>
      </c>
      <c r="E41" s="25" t="e">
        <f t="shared" si="10"/>
        <v>#DIV/0!</v>
      </c>
      <c r="F41" s="25" t="e">
        <f t="shared" si="10"/>
        <v>#DIV/0!</v>
      </c>
      <c r="G41" s="25" t="e">
        <f t="shared" si="10"/>
        <v>#DIV/0!</v>
      </c>
      <c r="H41" s="25">
        <f t="shared" si="10"/>
        <v>0.03125</v>
      </c>
    </row>
    <row r="42" ht="15" customHeight="1">
      <c r="A42" s="7" t="s">
        <v>37</v>
      </c>
    </row>
    <row r="43" spans="1:8" ht="15" customHeight="1">
      <c r="A43" s="1" t="s">
        <v>38</v>
      </c>
      <c r="B43" s="59">
        <f aca="true" t="shared" si="11" ref="B43:G43">+B6</f>
        <v>170000</v>
      </c>
      <c r="C43" s="59">
        <f t="shared" si="11"/>
        <v>20000</v>
      </c>
      <c r="D43" s="59">
        <f t="shared" si="11"/>
        <v>22500</v>
      </c>
      <c r="E43" s="59">
        <f t="shared" si="11"/>
        <v>0</v>
      </c>
      <c r="F43" s="60">
        <f t="shared" si="11"/>
        <v>0</v>
      </c>
      <c r="G43" s="59">
        <f t="shared" si="11"/>
        <v>0</v>
      </c>
      <c r="H43" s="59">
        <f>+H6</f>
        <v>150000</v>
      </c>
    </row>
    <row r="44" spans="1:8" ht="15" customHeight="1">
      <c r="A44" s="1" t="s">
        <v>39</v>
      </c>
      <c r="B44" s="11">
        <v>70000</v>
      </c>
      <c r="C44" s="11">
        <v>5000</v>
      </c>
      <c r="D44" s="11">
        <v>10000</v>
      </c>
      <c r="E44" s="11">
        <v>12000</v>
      </c>
      <c r="F44" s="12">
        <v>8000</v>
      </c>
      <c r="G44" s="11">
        <v>30000</v>
      </c>
      <c r="H44" s="11">
        <v>60000</v>
      </c>
    </row>
    <row r="45" spans="1:8" ht="15" customHeight="1">
      <c r="A45" s="1" t="s">
        <v>40</v>
      </c>
      <c r="B45" s="1">
        <v>10</v>
      </c>
      <c r="C45" s="1">
        <v>10</v>
      </c>
      <c r="D45" s="1">
        <v>8</v>
      </c>
      <c r="E45" s="1">
        <v>12</v>
      </c>
      <c r="F45" s="2">
        <v>3</v>
      </c>
      <c r="G45" s="1">
        <v>3</v>
      </c>
      <c r="H45" s="1">
        <v>10</v>
      </c>
    </row>
    <row r="46" spans="1:8" ht="15" customHeight="1">
      <c r="A46" s="1" t="s">
        <v>41</v>
      </c>
      <c r="B46" s="25">
        <f aca="true" t="shared" si="12" ref="B46:H46">+(B43-B44)/B45</f>
        <v>10000</v>
      </c>
      <c r="C46" s="25">
        <f t="shared" si="12"/>
        <v>1500</v>
      </c>
      <c r="D46" s="25">
        <f t="shared" si="12"/>
        <v>1562.5</v>
      </c>
      <c r="E46" s="25">
        <f t="shared" si="12"/>
        <v>-1000</v>
      </c>
      <c r="F46" s="26">
        <f t="shared" si="12"/>
        <v>-2666.6666666666665</v>
      </c>
      <c r="G46" s="25">
        <f t="shared" si="12"/>
        <v>-10000</v>
      </c>
      <c r="H46" s="25">
        <f t="shared" si="12"/>
        <v>9000</v>
      </c>
    </row>
    <row r="47" ht="15" customHeight="1">
      <c r="A47" s="7" t="s">
        <v>42</v>
      </c>
    </row>
    <row r="48" spans="1:8" ht="15" customHeight="1">
      <c r="A48" s="1" t="s">
        <v>43</v>
      </c>
      <c r="B48" s="61">
        <f aca="true" t="shared" si="13" ref="B48:G48">+(B43+B44)/2</f>
        <v>120000</v>
      </c>
      <c r="C48" s="61">
        <f t="shared" si="13"/>
        <v>12500</v>
      </c>
      <c r="D48" s="61">
        <f t="shared" si="13"/>
        <v>16250</v>
      </c>
      <c r="E48" s="61">
        <f t="shared" si="13"/>
        <v>6000</v>
      </c>
      <c r="F48" s="62">
        <f t="shared" si="13"/>
        <v>4000</v>
      </c>
      <c r="G48" s="61">
        <f t="shared" si="13"/>
        <v>15000</v>
      </c>
      <c r="H48" s="61">
        <f>+(H43+H44)/2</f>
        <v>105000</v>
      </c>
    </row>
    <row r="49" spans="1:8" ht="15" customHeight="1">
      <c r="A49" s="1" t="s">
        <v>44</v>
      </c>
      <c r="B49" s="63">
        <v>0.075</v>
      </c>
      <c r="C49" s="63">
        <v>0.075</v>
      </c>
      <c r="D49" s="63">
        <v>0.075</v>
      </c>
      <c r="E49" s="63">
        <v>0.075</v>
      </c>
      <c r="F49" s="63">
        <v>0.075</v>
      </c>
      <c r="G49" s="63">
        <v>0.075</v>
      </c>
      <c r="H49" s="63">
        <v>0.075</v>
      </c>
    </row>
    <row r="50" spans="1:8" ht="15" customHeight="1" thickBot="1">
      <c r="A50" s="33" t="s">
        <v>45</v>
      </c>
      <c r="B50" s="34">
        <f aca="true" t="shared" si="14" ref="B50:H50">+B48*B49</f>
        <v>9000</v>
      </c>
      <c r="C50" s="34">
        <f t="shared" si="14"/>
        <v>937.5</v>
      </c>
      <c r="D50" s="34">
        <f t="shared" si="14"/>
        <v>1218.75</v>
      </c>
      <c r="E50" s="34">
        <f t="shared" si="14"/>
        <v>450</v>
      </c>
      <c r="F50" s="35">
        <f t="shared" si="14"/>
        <v>300</v>
      </c>
      <c r="G50" s="34">
        <f t="shared" si="14"/>
        <v>1125</v>
      </c>
      <c r="H50" s="34">
        <f t="shared" si="14"/>
        <v>7875</v>
      </c>
    </row>
    <row r="51" spans="1:8" ht="15" customHeight="1">
      <c r="A51" s="36" t="s">
        <v>46</v>
      </c>
      <c r="B51" s="37" t="s">
        <v>91</v>
      </c>
      <c r="C51" s="37" t="s">
        <v>91</v>
      </c>
      <c r="D51" s="37" t="s">
        <v>91</v>
      </c>
      <c r="E51" s="37" t="s">
        <v>47</v>
      </c>
      <c r="F51" s="38" t="s">
        <v>47</v>
      </c>
      <c r="G51" s="37" t="s">
        <v>47</v>
      </c>
      <c r="H51" s="37" t="s">
        <v>91</v>
      </c>
    </row>
    <row r="52" spans="1:8" ht="15" customHeight="1">
      <c r="A52" s="1" t="s">
        <v>101</v>
      </c>
      <c r="B52" s="25">
        <f aca="true" t="shared" si="15" ref="B52:G52">+B17</f>
        <v>1.5074074074074073</v>
      </c>
      <c r="C52" s="25">
        <f t="shared" si="15"/>
        <v>0.420641447368421</v>
      </c>
      <c r="D52" s="25">
        <f t="shared" si="15"/>
        <v>0.5238095238095238</v>
      </c>
      <c r="E52" s="25" t="e">
        <f t="shared" si="15"/>
        <v>#DIV/0!</v>
      </c>
      <c r="F52" s="25" t="e">
        <f t="shared" si="15"/>
        <v>#DIV/0!</v>
      </c>
      <c r="G52" s="25" t="e">
        <f t="shared" si="15"/>
        <v>#DIV/0!</v>
      </c>
      <c r="H52" s="25">
        <f>+H17</f>
        <v>0.2243421052631579</v>
      </c>
    </row>
    <row r="53" spans="1:8" ht="15" customHeight="1">
      <c r="A53" s="1" t="s">
        <v>103</v>
      </c>
      <c r="B53" s="29">
        <f aca="true" t="shared" si="16" ref="B53:G54">+B25</f>
        <v>2.4897119341563783</v>
      </c>
      <c r="C53" s="29">
        <f t="shared" si="16"/>
        <v>0.5713296398891966</v>
      </c>
      <c r="D53" s="29">
        <f t="shared" si="16"/>
        <v>2.1164021164021163</v>
      </c>
      <c r="E53" s="29" t="e">
        <f t="shared" si="16"/>
        <v>#DIV/0!</v>
      </c>
      <c r="F53" s="29" t="e">
        <f t="shared" si="16"/>
        <v>#DIV/0!</v>
      </c>
      <c r="G53" s="29" t="e">
        <f t="shared" si="16"/>
        <v>#DIV/0!</v>
      </c>
      <c r="H53" s="29">
        <f>+H25</f>
        <v>0</v>
      </c>
    </row>
    <row r="54" spans="1:8" ht="15" customHeight="1">
      <c r="A54" s="1" t="s">
        <v>104</v>
      </c>
      <c r="B54" s="25">
        <f t="shared" si="16"/>
        <v>1.0864197530864195</v>
      </c>
      <c r="C54" s="25">
        <f t="shared" si="16"/>
        <v>0.2056786703601108</v>
      </c>
      <c r="D54" s="25">
        <f t="shared" si="16"/>
        <v>1.0158730158730158</v>
      </c>
      <c r="E54" s="25" t="e">
        <f t="shared" si="16"/>
        <v>#DIV/0!</v>
      </c>
      <c r="F54" s="25" t="e">
        <f t="shared" si="16"/>
        <v>#DIV/0!</v>
      </c>
      <c r="G54" s="25" t="e">
        <f t="shared" si="16"/>
        <v>#DIV/0!</v>
      </c>
      <c r="H54" s="25">
        <f>+H26</f>
        <v>0.12797783933518006</v>
      </c>
    </row>
    <row r="55" spans="1:8" ht="15" customHeight="1">
      <c r="A55" s="1" t="s">
        <v>50</v>
      </c>
      <c r="B55" s="25">
        <f aca="true" t="shared" si="17" ref="B55:G55">+B38</f>
        <v>0.75</v>
      </c>
      <c r="C55" s="25">
        <f t="shared" si="17"/>
        <v>0.1875</v>
      </c>
      <c r="D55" s="25">
        <f t="shared" si="17"/>
        <v>0.3333333333333333</v>
      </c>
      <c r="E55" s="25" t="e">
        <f t="shared" si="17"/>
        <v>#DIV/0!</v>
      </c>
      <c r="F55" s="25" t="e">
        <f t="shared" si="17"/>
        <v>#DIV/0!</v>
      </c>
      <c r="G55" s="25" t="e">
        <f t="shared" si="17"/>
        <v>#DIV/0!</v>
      </c>
      <c r="H55" s="25">
        <f>+H38</f>
        <v>0.375</v>
      </c>
    </row>
    <row r="56" spans="1:8" ht="15" customHeight="1">
      <c r="A56" s="1" t="s">
        <v>109</v>
      </c>
      <c r="B56" s="25">
        <f aca="true" t="shared" si="18" ref="B56:G56">+B41</f>
        <v>0.1</v>
      </c>
      <c r="C56" s="25">
        <f t="shared" si="18"/>
        <v>0.0125</v>
      </c>
      <c r="D56" s="25">
        <f t="shared" si="18"/>
        <v>0.025</v>
      </c>
      <c r="E56" s="25" t="e">
        <f t="shared" si="18"/>
        <v>#DIV/0!</v>
      </c>
      <c r="F56" s="25" t="e">
        <f t="shared" si="18"/>
        <v>#DIV/0!</v>
      </c>
      <c r="G56" s="25" t="e">
        <f t="shared" si="18"/>
        <v>#DIV/0!</v>
      </c>
      <c r="H56" s="25">
        <f>+H41</f>
        <v>0.03125</v>
      </c>
    </row>
    <row r="57" spans="1:8" ht="15" customHeight="1">
      <c r="A57" s="1" t="s">
        <v>105</v>
      </c>
      <c r="B57" s="25">
        <f aca="true" t="shared" si="19" ref="B57:G57">+B50/B8</f>
        <v>1.8</v>
      </c>
      <c r="C57" s="25">
        <f t="shared" si="19"/>
        <v>0.05859375</v>
      </c>
      <c r="D57" s="25">
        <f t="shared" si="19"/>
        <v>0.203125</v>
      </c>
      <c r="E57" s="25" t="e">
        <f t="shared" si="19"/>
        <v>#DIV/0!</v>
      </c>
      <c r="F57" s="25" t="e">
        <f t="shared" si="19"/>
        <v>#DIV/0!</v>
      </c>
      <c r="G57" s="25" t="e">
        <f t="shared" si="19"/>
        <v>#DIV/0!</v>
      </c>
      <c r="H57" s="25">
        <f>+H50/H8</f>
        <v>0.4921875</v>
      </c>
    </row>
    <row r="58" spans="1:8" ht="15" customHeight="1">
      <c r="A58" s="1" t="s">
        <v>53</v>
      </c>
      <c r="B58" s="39">
        <f aca="true" t="shared" si="20" ref="B58:G58">+B46/B8</f>
        <v>2</v>
      </c>
      <c r="C58" s="39">
        <f t="shared" si="20"/>
        <v>0.09375</v>
      </c>
      <c r="D58" s="39">
        <f t="shared" si="20"/>
        <v>0.2604166666666667</v>
      </c>
      <c r="E58" s="39" t="e">
        <f t="shared" si="20"/>
        <v>#DIV/0!</v>
      </c>
      <c r="F58" s="39" t="e">
        <f t="shared" si="20"/>
        <v>#DIV/0!</v>
      </c>
      <c r="G58" s="39" t="e">
        <f t="shared" si="20"/>
        <v>#DIV/0!</v>
      </c>
      <c r="H58" s="39">
        <f>+H46/H8</f>
        <v>0.5625</v>
      </c>
    </row>
    <row r="59" spans="1:8" ht="15" customHeight="1">
      <c r="A59" s="41" t="s">
        <v>106</v>
      </c>
      <c r="B59" s="42">
        <f aca="true" t="shared" si="21" ref="B59:H59">SUM(B52:B58)</f>
        <v>9.733539094650205</v>
      </c>
      <c r="C59" s="42">
        <f t="shared" si="21"/>
        <v>1.5499935076177285</v>
      </c>
      <c r="D59" s="42">
        <f t="shared" si="21"/>
        <v>4.477959656084656</v>
      </c>
      <c r="E59" s="42" t="e">
        <f t="shared" si="21"/>
        <v>#DIV/0!</v>
      </c>
      <c r="F59" s="43" t="e">
        <f t="shared" si="21"/>
        <v>#DIV/0!</v>
      </c>
      <c r="G59" s="42" t="e">
        <f t="shared" si="21"/>
        <v>#DIV/0!</v>
      </c>
      <c r="H59" s="42">
        <f t="shared" si="21"/>
        <v>1.8132574445983378</v>
      </c>
    </row>
    <row r="60" spans="1:8" ht="15" customHeight="1">
      <c r="A60" s="41" t="s">
        <v>122</v>
      </c>
      <c r="B60" s="42">
        <f>+B61/B13</f>
        <v>238.91414141414137</v>
      </c>
      <c r="C60" s="42">
        <f>+C61/C13</f>
        <v>114.22982456140352</v>
      </c>
      <c r="D60" s="42">
        <f>+D61/D13</f>
        <v>94.03715277777778</v>
      </c>
      <c r="E60" s="42"/>
      <c r="F60" s="67"/>
      <c r="G60" s="42"/>
      <c r="H60" s="42">
        <f>+H61/H13</f>
        <v>250.55921052631578</v>
      </c>
    </row>
    <row r="61" spans="1:8" ht="15" customHeight="1">
      <c r="A61" s="41" t="s">
        <v>60</v>
      </c>
      <c r="B61" s="25">
        <f aca="true" t="shared" si="22" ref="B61:G61">+B59*B8</f>
        <v>48667.69547325102</v>
      </c>
      <c r="C61" s="25">
        <f t="shared" si="22"/>
        <v>24799.896121883656</v>
      </c>
      <c r="D61" s="25">
        <f t="shared" si="22"/>
        <v>26867.757936507936</v>
      </c>
      <c r="E61" s="25" t="e">
        <f t="shared" si="22"/>
        <v>#DIV/0!</v>
      </c>
      <c r="F61" s="25" t="e">
        <f t="shared" si="22"/>
        <v>#DIV/0!</v>
      </c>
      <c r="G61" s="25" t="e">
        <f t="shared" si="22"/>
        <v>#DIV/0!</v>
      </c>
      <c r="H61" s="25">
        <f>+H59*H8</f>
        <v>29012.119113573404</v>
      </c>
    </row>
    <row r="62" spans="1:8" ht="15" customHeight="1">
      <c r="A62" s="64" t="s">
        <v>110</v>
      </c>
      <c r="B62" s="11">
        <v>24</v>
      </c>
      <c r="C62" s="45">
        <v>5</v>
      </c>
      <c r="D62" s="11">
        <v>15</v>
      </c>
      <c r="E62" s="11"/>
      <c r="F62" s="11"/>
      <c r="G62" s="11"/>
      <c r="H62" s="45">
        <v>5</v>
      </c>
    </row>
    <row r="63" spans="3:8" ht="15" customHeight="1">
      <c r="C63" s="11"/>
      <c r="D63" s="45"/>
      <c r="E63" s="45"/>
      <c r="G63" s="55"/>
      <c r="H63" s="11"/>
    </row>
    <row r="64" spans="1:8" ht="15" customHeight="1">
      <c r="A64" s="53" t="s">
        <v>111</v>
      </c>
      <c r="B64" s="45">
        <f aca="true" t="shared" si="23" ref="B64:G64">+B59-B62</f>
        <v>-14.266460905349795</v>
      </c>
      <c r="C64" s="45">
        <f t="shared" si="23"/>
        <v>-3.4500064923822715</v>
      </c>
      <c r="D64" s="45">
        <f t="shared" si="23"/>
        <v>-10.522040343915343</v>
      </c>
      <c r="E64" s="45" t="e">
        <f t="shared" si="23"/>
        <v>#DIV/0!</v>
      </c>
      <c r="F64" s="45" t="e">
        <f t="shared" si="23"/>
        <v>#DIV/0!</v>
      </c>
      <c r="G64" s="45" t="e">
        <f t="shared" si="23"/>
        <v>#DIV/0!</v>
      </c>
      <c r="H64" s="45">
        <f>+H59-H62</f>
        <v>-3.186742555401662</v>
      </c>
    </row>
    <row r="65" spans="1:8" ht="15" customHeight="1">
      <c r="A65" s="53" t="s">
        <v>112</v>
      </c>
      <c r="B65" s="58">
        <f aca="true" t="shared" si="24" ref="B65:H65">+B64*B8</f>
        <v>-71332.30452674898</v>
      </c>
      <c r="C65" s="58">
        <f t="shared" si="24"/>
        <v>-55200.103878116344</v>
      </c>
      <c r="D65" s="58">
        <f t="shared" si="24"/>
        <v>-63132.242063492056</v>
      </c>
      <c r="E65" s="58" t="e">
        <f t="shared" si="24"/>
        <v>#DIV/0!</v>
      </c>
      <c r="F65" s="58" t="e">
        <f t="shared" si="24"/>
        <v>#DIV/0!</v>
      </c>
      <c r="G65" s="58" t="e">
        <f t="shared" si="24"/>
        <v>#DIV/0!</v>
      </c>
      <c r="H65" s="58">
        <f t="shared" si="24"/>
        <v>-50987.880886426596</v>
      </c>
    </row>
    <row r="66" ht="15" customHeight="1" thickBot="1"/>
    <row r="67" spans="1:8" ht="15" customHeight="1" thickBot="1">
      <c r="A67" s="3" t="s">
        <v>0</v>
      </c>
      <c r="B67" s="4" t="s">
        <v>1</v>
      </c>
      <c r="C67" s="5" t="s">
        <v>2</v>
      </c>
      <c r="D67" s="5"/>
      <c r="H67" s="5" t="s">
        <v>2</v>
      </c>
    </row>
  </sheetData>
  <sheetProtection/>
  <mergeCells count="1">
    <mergeCell ref="A1:D1"/>
  </mergeCells>
  <printOptions gridLines="1"/>
  <pageMargins left="0.75" right="0.75" top="0.75" bottom="0.75" header="0.5" footer="0.5"/>
  <pageSetup fitToHeight="1" fitToWidth="1" horizontalDpi="1200" verticalDpi="1200" orientation="portrait" scale="72" r:id="rId1"/>
  <headerFooter alignWithMargins="0">
    <oddFooter>&amp;L&amp;F&amp;C&amp;A&amp;R&amp;D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30" zoomScaleNormal="13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7" sqref="G17"/>
    </sheetView>
  </sheetViews>
  <sheetFormatPr defaultColWidth="11.7109375" defaultRowHeight="15" customHeight="1"/>
  <cols>
    <col min="1" max="1" width="19.7109375" style="1" customWidth="1"/>
    <col min="2" max="5" width="11.7109375" style="1" customWidth="1"/>
    <col min="6" max="6" width="11.7109375" style="2" customWidth="1"/>
    <col min="7" max="16384" width="11.7109375" style="1" customWidth="1"/>
  </cols>
  <sheetData>
    <row r="1" spans="1:4" ht="15" customHeight="1" thickBot="1">
      <c r="A1" s="3" t="s">
        <v>0</v>
      </c>
      <c r="B1" s="4" t="s">
        <v>1</v>
      </c>
      <c r="C1" s="5" t="s">
        <v>2</v>
      </c>
      <c r="D1" s="5"/>
    </row>
    <row r="2" spans="2:7" ht="15" customHeight="1">
      <c r="B2" s="49"/>
      <c r="C2" s="49"/>
      <c r="D2" s="50" t="s">
        <v>3</v>
      </c>
      <c r="E2" s="50" t="s">
        <v>3</v>
      </c>
      <c r="F2" s="46" t="s">
        <v>62</v>
      </c>
      <c r="G2" s="47"/>
    </row>
    <row r="3" spans="1:12" ht="15" customHeight="1">
      <c r="A3" s="7" t="s">
        <v>4</v>
      </c>
      <c r="B3" s="51" t="s">
        <v>5</v>
      </c>
      <c r="C3" s="49" t="s">
        <v>5</v>
      </c>
      <c r="D3" s="51" t="s">
        <v>6</v>
      </c>
      <c r="E3" s="52" t="s">
        <v>7</v>
      </c>
      <c r="F3" s="46" t="s">
        <v>63</v>
      </c>
      <c r="G3" s="48"/>
      <c r="H3" s="6"/>
      <c r="I3" s="6"/>
      <c r="J3" s="6"/>
      <c r="K3" s="6"/>
      <c r="L3" s="6"/>
    </row>
    <row r="4" spans="1:12" ht="15" customHeight="1">
      <c r="A4" s="1" t="s">
        <v>8</v>
      </c>
      <c r="B4" s="6" t="s">
        <v>9</v>
      </c>
      <c r="C4" s="6" t="s">
        <v>10</v>
      </c>
      <c r="D4" s="6" t="s">
        <v>10</v>
      </c>
      <c r="E4" s="6" t="s">
        <v>10</v>
      </c>
      <c r="F4" s="9"/>
      <c r="G4" s="10"/>
      <c r="H4" s="10"/>
      <c r="I4" s="10"/>
      <c r="J4" s="10"/>
      <c r="K4" s="10"/>
      <c r="L4" s="10"/>
    </row>
    <row r="5" spans="1:7" ht="15" customHeight="1">
      <c r="A5" s="1" t="s">
        <v>11</v>
      </c>
      <c r="B5" s="6" t="s">
        <v>61</v>
      </c>
      <c r="C5" s="1">
        <v>2004</v>
      </c>
      <c r="D5" s="1">
        <v>2004</v>
      </c>
      <c r="E5" s="1">
        <v>2004</v>
      </c>
      <c r="F5" s="2" t="s">
        <v>64</v>
      </c>
      <c r="G5" s="1" t="s">
        <v>65</v>
      </c>
    </row>
    <row r="6" spans="1:7" ht="15" customHeight="1">
      <c r="A6" s="1" t="s">
        <v>12</v>
      </c>
      <c r="B6" s="11">
        <v>16250</v>
      </c>
      <c r="C6" s="11">
        <v>42000</v>
      </c>
      <c r="D6" s="11">
        <v>42000</v>
      </c>
      <c r="E6" s="11">
        <v>42000</v>
      </c>
      <c r="F6" s="12">
        <v>45000</v>
      </c>
      <c r="G6" s="11">
        <v>70000</v>
      </c>
    </row>
    <row r="7" ht="15" customHeight="1">
      <c r="A7" s="7" t="s">
        <v>13</v>
      </c>
    </row>
    <row r="8" spans="1:7" ht="15" customHeight="1">
      <c r="A8" s="1" t="s">
        <v>14</v>
      </c>
      <c r="B8" s="1">
        <v>600</v>
      </c>
      <c r="C8" s="1">
        <v>600</v>
      </c>
      <c r="D8" s="1">
        <v>900</v>
      </c>
      <c r="E8" s="1">
        <v>1200</v>
      </c>
      <c r="F8" s="2">
        <v>2500</v>
      </c>
      <c r="G8" s="1">
        <v>2500</v>
      </c>
    </row>
    <row r="9" spans="1:7" ht="15" customHeight="1">
      <c r="A9" s="1" t="s">
        <v>15</v>
      </c>
      <c r="B9" s="13">
        <f aca="true" t="shared" si="0" ref="B9:G9">+B8*2000/B15</f>
        <v>1600</v>
      </c>
      <c r="C9" s="13">
        <f t="shared" si="0"/>
        <v>1000</v>
      </c>
      <c r="D9" s="13">
        <f t="shared" si="0"/>
        <v>1500</v>
      </c>
      <c r="E9" s="13">
        <f t="shared" si="0"/>
        <v>2000</v>
      </c>
      <c r="F9" s="14">
        <f t="shared" si="0"/>
        <v>4166.666666666667</v>
      </c>
      <c r="G9" s="13">
        <f t="shared" si="0"/>
        <v>4166.666666666667</v>
      </c>
    </row>
    <row r="10" ht="15" customHeight="1">
      <c r="A10" s="7" t="s">
        <v>16</v>
      </c>
    </row>
    <row r="11" spans="1:7" ht="15" customHeight="1">
      <c r="A11" s="1" t="s">
        <v>17</v>
      </c>
      <c r="B11" s="15">
        <v>20</v>
      </c>
      <c r="C11" s="15">
        <v>20</v>
      </c>
      <c r="D11" s="15">
        <v>20</v>
      </c>
      <c r="E11" s="15">
        <v>20</v>
      </c>
      <c r="F11" s="16">
        <v>16</v>
      </c>
      <c r="G11" s="15">
        <v>16</v>
      </c>
    </row>
    <row r="12" spans="1:7" ht="16.5" customHeight="1">
      <c r="A12" s="1" t="s">
        <v>18</v>
      </c>
      <c r="B12" s="11">
        <v>15</v>
      </c>
      <c r="C12" s="11">
        <v>15</v>
      </c>
      <c r="D12" s="11">
        <v>15</v>
      </c>
      <c r="E12" s="11">
        <v>15</v>
      </c>
      <c r="F12" s="12"/>
      <c r="G12" s="11"/>
    </row>
    <row r="13" ht="15" customHeight="1">
      <c r="A13" s="7" t="s">
        <v>19</v>
      </c>
    </row>
    <row r="14" spans="1:7" ht="15" customHeight="1">
      <c r="A14" s="1" t="s">
        <v>20</v>
      </c>
      <c r="B14" s="1">
        <v>20</v>
      </c>
      <c r="C14" s="1">
        <v>40</v>
      </c>
      <c r="D14" s="1">
        <v>40</v>
      </c>
      <c r="E14" s="1">
        <v>40</v>
      </c>
      <c r="F14" s="2">
        <v>50</v>
      </c>
      <c r="G14" s="1">
        <v>50</v>
      </c>
    </row>
    <row r="15" spans="1:7" ht="15" customHeight="1">
      <c r="A15" s="1" t="s">
        <v>67</v>
      </c>
      <c r="B15" s="1">
        <v>750</v>
      </c>
      <c r="C15" s="1">
        <v>1200</v>
      </c>
      <c r="D15" s="1">
        <v>1200</v>
      </c>
      <c r="E15" s="1">
        <v>1200</v>
      </c>
      <c r="F15" s="2">
        <v>1200</v>
      </c>
      <c r="G15" s="1">
        <v>1200</v>
      </c>
    </row>
    <row r="16" spans="1:7" ht="15" customHeight="1">
      <c r="A16" s="1" t="s">
        <v>21</v>
      </c>
      <c r="B16" s="17">
        <f aca="true" t="shared" si="1" ref="B16:G16">+B14*B15/2000</f>
        <v>7.5</v>
      </c>
      <c r="C16" s="17">
        <f t="shared" si="1"/>
        <v>24</v>
      </c>
      <c r="D16" s="17">
        <f t="shared" si="1"/>
        <v>24</v>
      </c>
      <c r="E16" s="17">
        <f t="shared" si="1"/>
        <v>24</v>
      </c>
      <c r="F16" s="18">
        <f t="shared" si="1"/>
        <v>30</v>
      </c>
      <c r="G16" s="17">
        <f t="shared" si="1"/>
        <v>30</v>
      </c>
    </row>
    <row r="17" spans="1:7" ht="15" customHeight="1">
      <c r="A17" s="1" t="s">
        <v>22</v>
      </c>
      <c r="B17" s="19">
        <f aca="true" t="shared" si="2" ref="B17:G17">1/B$16</f>
        <v>0.13333333333333333</v>
      </c>
      <c r="C17" s="19">
        <f t="shared" si="2"/>
        <v>0.041666666666666664</v>
      </c>
      <c r="D17" s="19">
        <f t="shared" si="2"/>
        <v>0.041666666666666664</v>
      </c>
      <c r="E17" s="19">
        <f t="shared" si="2"/>
        <v>0.041666666666666664</v>
      </c>
      <c r="F17" s="20">
        <f t="shared" si="2"/>
        <v>0.03333333333333333</v>
      </c>
      <c r="G17" s="19">
        <f t="shared" si="2"/>
        <v>0.03333333333333333</v>
      </c>
    </row>
    <row r="18" spans="1:7" ht="15" customHeight="1">
      <c r="A18" s="1" t="s">
        <v>125</v>
      </c>
      <c r="B18" s="68">
        <v>1.15</v>
      </c>
      <c r="C18" s="68">
        <v>1.15</v>
      </c>
      <c r="D18" s="68">
        <v>1.15</v>
      </c>
      <c r="E18" s="68">
        <v>1.15</v>
      </c>
      <c r="F18" s="68">
        <v>1.15</v>
      </c>
      <c r="G18" s="68">
        <v>1.15</v>
      </c>
    </row>
    <row r="19" spans="1:7" ht="15" customHeight="1">
      <c r="A19" s="1" t="s">
        <v>23</v>
      </c>
      <c r="B19" s="19">
        <f aca="true" t="shared" si="3" ref="B19:G19">(1/B$16)*B18</f>
        <v>0.15333333333333332</v>
      </c>
      <c r="C19" s="19">
        <f t="shared" si="3"/>
        <v>0.04791666666666666</v>
      </c>
      <c r="D19" s="19">
        <f t="shared" si="3"/>
        <v>0.04791666666666666</v>
      </c>
      <c r="E19" s="19">
        <f t="shared" si="3"/>
        <v>0.04791666666666666</v>
      </c>
      <c r="F19" s="19">
        <f t="shared" si="3"/>
        <v>0.03833333333333333</v>
      </c>
      <c r="G19" s="19">
        <f t="shared" si="3"/>
        <v>0.03833333333333333</v>
      </c>
    </row>
    <row r="20" spans="1:7" ht="15" customHeight="1">
      <c r="A20" s="1" t="s">
        <v>66</v>
      </c>
      <c r="B20" s="21">
        <v>30</v>
      </c>
      <c r="C20" s="21">
        <v>35</v>
      </c>
      <c r="D20" s="21">
        <v>35</v>
      </c>
      <c r="E20" s="21">
        <v>35</v>
      </c>
      <c r="F20" s="22">
        <v>40</v>
      </c>
      <c r="G20" s="21">
        <v>40</v>
      </c>
    </row>
    <row r="21" spans="1:7" ht="15" customHeight="1">
      <c r="A21" s="1" t="s">
        <v>24</v>
      </c>
      <c r="B21" s="19">
        <f aca="true" t="shared" si="4" ref="B21:G21">1/B$16</f>
        <v>0.13333333333333333</v>
      </c>
      <c r="C21" s="19">
        <f t="shared" si="4"/>
        <v>0.041666666666666664</v>
      </c>
      <c r="D21" s="19">
        <f t="shared" si="4"/>
        <v>0.041666666666666664</v>
      </c>
      <c r="E21" s="19">
        <f t="shared" si="4"/>
        <v>0.041666666666666664</v>
      </c>
      <c r="F21" s="20">
        <f t="shared" si="4"/>
        <v>0.03333333333333333</v>
      </c>
      <c r="G21" s="19">
        <f t="shared" si="4"/>
        <v>0.03333333333333333</v>
      </c>
    </row>
    <row r="22" spans="1:2" ht="15" customHeight="1">
      <c r="A22" s="54" t="s">
        <v>69</v>
      </c>
      <c r="B22" s="1" t="s">
        <v>68</v>
      </c>
    </row>
    <row r="23" ht="15" customHeight="1">
      <c r="A23" s="7" t="s">
        <v>25</v>
      </c>
    </row>
    <row r="24" spans="1:7" ht="15" customHeight="1">
      <c r="A24" s="1" t="s">
        <v>26</v>
      </c>
      <c r="B24" s="1">
        <v>13</v>
      </c>
      <c r="C24" s="1">
        <v>15</v>
      </c>
      <c r="D24" s="1">
        <v>15</v>
      </c>
      <c r="E24" s="1">
        <v>15</v>
      </c>
      <c r="F24" s="2">
        <v>0</v>
      </c>
      <c r="G24" s="1">
        <v>0</v>
      </c>
    </row>
    <row r="25" spans="1:7" ht="15" customHeight="1">
      <c r="A25" s="1" t="s">
        <v>27</v>
      </c>
      <c r="B25" s="23">
        <f aca="true" t="shared" si="5" ref="B25:G25">+B24*B15/2000</f>
        <v>4.875</v>
      </c>
      <c r="C25" s="23">
        <f t="shared" si="5"/>
        <v>9</v>
      </c>
      <c r="D25" s="23">
        <f t="shared" si="5"/>
        <v>9</v>
      </c>
      <c r="E25" s="23">
        <f t="shared" si="5"/>
        <v>9</v>
      </c>
      <c r="F25" s="24">
        <f t="shared" si="5"/>
        <v>0</v>
      </c>
      <c r="G25" s="23">
        <f t="shared" si="5"/>
        <v>0</v>
      </c>
    </row>
    <row r="26" spans="1:7" ht="15" customHeight="1">
      <c r="A26" s="1" t="s">
        <v>28</v>
      </c>
      <c r="B26" s="11">
        <v>45</v>
      </c>
      <c r="C26" s="11">
        <v>45</v>
      </c>
      <c r="D26" s="11">
        <v>45</v>
      </c>
      <c r="E26" s="11">
        <v>45</v>
      </c>
      <c r="F26" s="12">
        <v>45</v>
      </c>
      <c r="G26" s="11">
        <v>45</v>
      </c>
    </row>
    <row r="27" spans="1:7" ht="15" customHeight="1">
      <c r="A27" s="1" t="s">
        <v>29</v>
      </c>
      <c r="B27" s="1">
        <v>1</v>
      </c>
      <c r="C27" s="1">
        <v>0.8</v>
      </c>
      <c r="D27" s="1">
        <v>0.8</v>
      </c>
      <c r="E27" s="1">
        <v>0.8</v>
      </c>
      <c r="F27" s="2">
        <v>0.8</v>
      </c>
      <c r="G27" s="1">
        <v>0.8</v>
      </c>
    </row>
    <row r="28" spans="1:7" ht="15" customHeight="1">
      <c r="A28" s="1" t="s">
        <v>30</v>
      </c>
      <c r="B28" s="19">
        <f>1/B$25</f>
        <v>0.20512820512820512</v>
      </c>
      <c r="C28" s="19">
        <f>1/C$25</f>
        <v>0.1111111111111111</v>
      </c>
      <c r="D28" s="19">
        <f>1/D$25</f>
        <v>0.1111111111111111</v>
      </c>
      <c r="E28" s="19">
        <f>1/E$25</f>
        <v>0.1111111111111111</v>
      </c>
      <c r="F28" s="20">
        <f>IF(F$25&gt;0.1,1/F$25,)</f>
        <v>0</v>
      </c>
      <c r="G28" s="19">
        <f>IF(G$25&gt;0.1,1/G$25,)</f>
        <v>0</v>
      </c>
    </row>
    <row r="29" spans="1:7" ht="15" customHeight="1">
      <c r="A29" s="1" t="s">
        <v>31</v>
      </c>
      <c r="B29" s="11">
        <v>25</v>
      </c>
      <c r="C29" s="11">
        <v>25</v>
      </c>
      <c r="D29" s="11">
        <v>25</v>
      </c>
      <c r="E29" s="11">
        <v>25</v>
      </c>
      <c r="F29" s="12">
        <v>25</v>
      </c>
      <c r="G29" s="11">
        <v>25</v>
      </c>
    </row>
    <row r="30" spans="1:7" ht="15" customHeight="1">
      <c r="A30" s="1" t="s">
        <v>29</v>
      </c>
      <c r="B30" s="1">
        <v>0.5</v>
      </c>
      <c r="C30" s="1">
        <v>0.4</v>
      </c>
      <c r="D30" s="1">
        <v>0.4</v>
      </c>
      <c r="E30" s="1">
        <v>0.4</v>
      </c>
      <c r="F30" s="2">
        <v>0.4</v>
      </c>
      <c r="G30" s="1">
        <v>0.4</v>
      </c>
    </row>
    <row r="31" spans="1:7" ht="15" customHeight="1">
      <c r="A31" s="1" t="s">
        <v>32</v>
      </c>
      <c r="B31" s="19">
        <f>+B30/B$25</f>
        <v>0.10256410256410256</v>
      </c>
      <c r="C31" s="19">
        <f>+C30/C$25</f>
        <v>0.044444444444444446</v>
      </c>
      <c r="D31" s="19">
        <f>+D30/D$25</f>
        <v>0.044444444444444446</v>
      </c>
      <c r="E31" s="19">
        <f>+E30/E$25</f>
        <v>0.044444444444444446</v>
      </c>
      <c r="F31" s="20">
        <f>IF($F25&gt;0,+F30/F$25,)</f>
        <v>0</v>
      </c>
      <c r="G31" s="19">
        <f>IF($F25&gt;0,+G30/G$25,)</f>
        <v>0</v>
      </c>
    </row>
    <row r="32" spans="1:7" ht="15" customHeight="1">
      <c r="A32" s="1" t="s">
        <v>24</v>
      </c>
      <c r="B32" s="19">
        <f>+B27/B$25</f>
        <v>0.20512820512820512</v>
      </c>
      <c r="C32" s="19">
        <f>+C27/C$25</f>
        <v>0.08888888888888889</v>
      </c>
      <c r="D32" s="19">
        <f>+D27/D$25</f>
        <v>0.08888888888888889</v>
      </c>
      <c r="E32" s="19">
        <f>+E27/E$25</f>
        <v>0.08888888888888889</v>
      </c>
      <c r="F32" s="20">
        <f>IF(F$25&gt;0,+F27/F$25,)</f>
        <v>0</v>
      </c>
      <c r="G32" s="19">
        <f>IF(G$25&gt;0,+G27/G$25,)</f>
        <v>0</v>
      </c>
    </row>
    <row r="33" ht="15" customHeight="1">
      <c r="A33" s="7" t="s">
        <v>33</v>
      </c>
    </row>
    <row r="34" spans="1:7" ht="15" customHeight="1">
      <c r="A34" s="1" t="s">
        <v>34</v>
      </c>
      <c r="B34" s="11">
        <v>0.2</v>
      </c>
      <c r="C34" s="11">
        <v>0.25</v>
      </c>
      <c r="D34" s="11">
        <v>0.25</v>
      </c>
      <c r="E34" s="11">
        <v>0.25</v>
      </c>
      <c r="F34" s="12">
        <v>0.3</v>
      </c>
      <c r="G34" s="11">
        <v>0.2</v>
      </c>
    </row>
    <row r="35" spans="1:7" ht="15" customHeight="1">
      <c r="A35" s="1" t="s">
        <v>35</v>
      </c>
      <c r="B35" s="25">
        <f aca="true" t="shared" si="6" ref="B35:G35">+B34*(B8*2000/B15)</f>
        <v>320</v>
      </c>
      <c r="C35" s="25">
        <f t="shared" si="6"/>
        <v>250</v>
      </c>
      <c r="D35" s="25">
        <f t="shared" si="6"/>
        <v>375</v>
      </c>
      <c r="E35" s="25">
        <f t="shared" si="6"/>
        <v>500</v>
      </c>
      <c r="F35" s="26">
        <f t="shared" si="6"/>
        <v>1250</v>
      </c>
      <c r="G35" s="25">
        <f t="shared" si="6"/>
        <v>833.3333333333335</v>
      </c>
    </row>
    <row r="36" spans="1:7" ht="15" customHeight="1">
      <c r="A36" s="1" t="s">
        <v>72</v>
      </c>
      <c r="B36" s="11">
        <v>20</v>
      </c>
      <c r="C36" s="11">
        <v>23</v>
      </c>
      <c r="D36" s="11">
        <v>23</v>
      </c>
      <c r="E36" s="11">
        <v>23</v>
      </c>
      <c r="F36" s="12">
        <v>24</v>
      </c>
      <c r="G36" s="11">
        <v>24</v>
      </c>
    </row>
    <row r="37" spans="1:7" ht="15" customHeight="1">
      <c r="A37" s="1" t="s">
        <v>70</v>
      </c>
      <c r="B37" s="27">
        <v>65</v>
      </c>
      <c r="C37" s="27">
        <v>30</v>
      </c>
      <c r="D37" s="27">
        <v>30</v>
      </c>
      <c r="E37" s="27">
        <v>30</v>
      </c>
      <c r="F37" s="28">
        <v>30</v>
      </c>
      <c r="G37" s="27">
        <v>30</v>
      </c>
    </row>
    <row r="38" spans="1:7" ht="15" customHeight="1">
      <c r="A38" s="1" t="s">
        <v>36</v>
      </c>
      <c r="B38" s="25">
        <f aca="true" t="shared" si="7" ref="B38:G38">+B36/B37</f>
        <v>0.3076923076923077</v>
      </c>
      <c r="C38" s="25">
        <f t="shared" si="7"/>
        <v>0.7666666666666667</v>
      </c>
      <c r="D38" s="25">
        <f t="shared" si="7"/>
        <v>0.7666666666666667</v>
      </c>
      <c r="E38" s="25">
        <f t="shared" si="7"/>
        <v>0.7666666666666667</v>
      </c>
      <c r="F38" s="26">
        <f t="shared" si="7"/>
        <v>0.8</v>
      </c>
      <c r="G38" s="25">
        <f t="shared" si="7"/>
        <v>0.8</v>
      </c>
    </row>
    <row r="39" ht="15" customHeight="1">
      <c r="A39" s="7" t="s">
        <v>37</v>
      </c>
    </row>
    <row r="40" spans="1:7" ht="15" customHeight="1">
      <c r="A40" s="1" t="s">
        <v>38</v>
      </c>
      <c r="B40" s="29">
        <f aca="true" t="shared" si="8" ref="B40:G40">+B6</f>
        <v>16250</v>
      </c>
      <c r="C40" s="29">
        <f t="shared" si="8"/>
        <v>42000</v>
      </c>
      <c r="D40" s="29">
        <f t="shared" si="8"/>
        <v>42000</v>
      </c>
      <c r="E40" s="29">
        <f t="shared" si="8"/>
        <v>42000</v>
      </c>
      <c r="F40" s="30">
        <f t="shared" si="8"/>
        <v>45000</v>
      </c>
      <c r="G40" s="29">
        <f t="shared" si="8"/>
        <v>70000</v>
      </c>
    </row>
    <row r="41" spans="1:7" ht="15" customHeight="1">
      <c r="A41" s="1" t="s">
        <v>39</v>
      </c>
      <c r="B41" s="11">
        <v>6000</v>
      </c>
      <c r="C41" s="11">
        <v>18000</v>
      </c>
      <c r="D41" s="11">
        <v>15000</v>
      </c>
      <c r="E41" s="11">
        <v>12000</v>
      </c>
      <c r="F41" s="12">
        <v>8000</v>
      </c>
      <c r="G41" s="11">
        <v>30000</v>
      </c>
    </row>
    <row r="42" spans="1:7" ht="15" customHeight="1">
      <c r="A42" s="1" t="s">
        <v>40</v>
      </c>
      <c r="B42" s="1">
        <v>12</v>
      </c>
      <c r="C42" s="1">
        <v>12</v>
      </c>
      <c r="D42" s="1">
        <v>12</v>
      </c>
      <c r="E42" s="1">
        <v>12</v>
      </c>
      <c r="F42" s="2">
        <v>3</v>
      </c>
      <c r="G42" s="1">
        <v>3</v>
      </c>
    </row>
    <row r="43" spans="1:7" ht="15" customHeight="1">
      <c r="A43" s="1" t="s">
        <v>41</v>
      </c>
      <c r="B43" s="25">
        <f aca="true" t="shared" si="9" ref="B43:G43">+(B40-B41)/B42</f>
        <v>854.1666666666666</v>
      </c>
      <c r="C43" s="25">
        <f t="shared" si="9"/>
        <v>2000</v>
      </c>
      <c r="D43" s="25">
        <f t="shared" si="9"/>
        <v>2250</v>
      </c>
      <c r="E43" s="25">
        <f t="shared" si="9"/>
        <v>2500</v>
      </c>
      <c r="F43" s="26">
        <f t="shared" si="9"/>
        <v>12333.333333333334</v>
      </c>
      <c r="G43" s="25">
        <f t="shared" si="9"/>
        <v>13333.333333333334</v>
      </c>
    </row>
    <row r="44" ht="15" customHeight="1">
      <c r="A44" s="7" t="s">
        <v>42</v>
      </c>
    </row>
    <row r="45" spans="1:7" ht="15" customHeight="1">
      <c r="A45" s="1" t="s">
        <v>43</v>
      </c>
      <c r="B45" s="25">
        <f aca="true" t="shared" si="10" ref="B45:G45">+(B40+B41)/2</f>
        <v>11125</v>
      </c>
      <c r="C45" s="25">
        <f t="shared" si="10"/>
        <v>30000</v>
      </c>
      <c r="D45" s="25">
        <f t="shared" si="10"/>
        <v>28500</v>
      </c>
      <c r="E45" s="25">
        <f t="shared" si="10"/>
        <v>27000</v>
      </c>
      <c r="F45" s="26">
        <f t="shared" si="10"/>
        <v>26500</v>
      </c>
      <c r="G45" s="25">
        <f t="shared" si="10"/>
        <v>50000</v>
      </c>
    </row>
    <row r="46" spans="1:7" ht="15" customHeight="1">
      <c r="A46" s="1" t="s">
        <v>44</v>
      </c>
      <c r="B46" s="31">
        <v>0.07</v>
      </c>
      <c r="C46" s="31">
        <v>0.07</v>
      </c>
      <c r="D46" s="31">
        <v>0.07</v>
      </c>
      <c r="E46" s="31">
        <v>0.07</v>
      </c>
      <c r="F46" s="32">
        <v>0.07</v>
      </c>
      <c r="G46" s="31">
        <v>0.07</v>
      </c>
    </row>
    <row r="47" spans="1:7" ht="15" customHeight="1" thickBot="1">
      <c r="A47" s="33" t="s">
        <v>45</v>
      </c>
      <c r="B47" s="34">
        <f aca="true" t="shared" si="11" ref="B47:G47">+B45*B46</f>
        <v>778.7500000000001</v>
      </c>
      <c r="C47" s="34">
        <f t="shared" si="11"/>
        <v>2100</v>
      </c>
      <c r="D47" s="34">
        <f t="shared" si="11"/>
        <v>1995.0000000000002</v>
      </c>
      <c r="E47" s="34">
        <f t="shared" si="11"/>
        <v>1890.0000000000002</v>
      </c>
      <c r="F47" s="35">
        <f t="shared" si="11"/>
        <v>1855.0000000000002</v>
      </c>
      <c r="G47" s="34">
        <f t="shared" si="11"/>
        <v>3500.0000000000005</v>
      </c>
    </row>
    <row r="48" spans="1:7" ht="15" customHeight="1">
      <c r="A48" s="36" t="s">
        <v>46</v>
      </c>
      <c r="B48" s="37" t="s">
        <v>47</v>
      </c>
      <c r="C48" s="37" t="s">
        <v>47</v>
      </c>
      <c r="D48" s="37" t="s">
        <v>47</v>
      </c>
      <c r="E48" s="37" t="s">
        <v>47</v>
      </c>
      <c r="F48" s="38" t="s">
        <v>47</v>
      </c>
      <c r="G48" s="37" t="s">
        <v>47</v>
      </c>
    </row>
    <row r="49" spans="1:7" ht="15" customHeight="1">
      <c r="A49" s="1" t="s">
        <v>48</v>
      </c>
      <c r="B49" s="25">
        <f aca="true" t="shared" si="12" ref="B49:G49">+B21*B11</f>
        <v>2.6666666666666665</v>
      </c>
      <c r="C49" s="25">
        <f t="shared" si="12"/>
        <v>0.8333333333333333</v>
      </c>
      <c r="D49" s="25">
        <f t="shared" si="12"/>
        <v>0.8333333333333333</v>
      </c>
      <c r="E49" s="25">
        <f t="shared" si="12"/>
        <v>0.8333333333333333</v>
      </c>
      <c r="F49" s="25">
        <f t="shared" si="12"/>
        <v>0.5333333333333333</v>
      </c>
      <c r="G49" s="25">
        <f t="shared" si="12"/>
        <v>0.5333333333333333</v>
      </c>
    </row>
    <row r="50" spans="1:7" ht="15" customHeight="1">
      <c r="A50" s="1" t="s">
        <v>49</v>
      </c>
      <c r="B50" s="29">
        <f aca="true" t="shared" si="13" ref="B50:G50">+B19*B20</f>
        <v>4.6</v>
      </c>
      <c r="C50" s="29">
        <f t="shared" si="13"/>
        <v>1.6770833333333333</v>
      </c>
      <c r="D50" s="29">
        <f t="shared" si="13"/>
        <v>1.6770833333333333</v>
      </c>
      <c r="E50" s="29">
        <f t="shared" si="13"/>
        <v>1.6770833333333333</v>
      </c>
      <c r="F50" s="30">
        <f t="shared" si="13"/>
        <v>1.5333333333333332</v>
      </c>
      <c r="G50" s="29">
        <f t="shared" si="13"/>
        <v>1.5333333333333332</v>
      </c>
    </row>
    <row r="51" spans="1:7" ht="15" customHeight="1">
      <c r="A51" s="1" t="s">
        <v>50</v>
      </c>
      <c r="B51" s="25">
        <f aca="true" t="shared" si="14" ref="B51:G51">+B35/B8</f>
        <v>0.5333333333333333</v>
      </c>
      <c r="C51" s="25">
        <f t="shared" si="14"/>
        <v>0.4166666666666667</v>
      </c>
      <c r="D51" s="25">
        <f t="shared" si="14"/>
        <v>0.4166666666666667</v>
      </c>
      <c r="E51" s="25">
        <f t="shared" si="14"/>
        <v>0.4166666666666667</v>
      </c>
      <c r="F51" s="26">
        <f t="shared" si="14"/>
        <v>0.5</v>
      </c>
      <c r="G51" s="26">
        <f t="shared" si="14"/>
        <v>0.33333333333333337</v>
      </c>
    </row>
    <row r="52" spans="1:7" ht="15" customHeight="1">
      <c r="A52" s="1" t="s">
        <v>51</v>
      </c>
      <c r="B52" s="25">
        <f aca="true" t="shared" si="15" ref="B52:G52">+B38*2000/B15</f>
        <v>0.8205128205128206</v>
      </c>
      <c r="C52" s="25">
        <f t="shared" si="15"/>
        <v>1.277777777777778</v>
      </c>
      <c r="D52" s="25">
        <f t="shared" si="15"/>
        <v>1.277777777777778</v>
      </c>
      <c r="E52" s="25">
        <f t="shared" si="15"/>
        <v>1.277777777777778</v>
      </c>
      <c r="F52" s="26">
        <f t="shared" si="15"/>
        <v>1.3333333333333333</v>
      </c>
      <c r="G52" s="25">
        <f t="shared" si="15"/>
        <v>1.3333333333333333</v>
      </c>
    </row>
    <row r="53" spans="1:7" ht="15" customHeight="1">
      <c r="A53" s="1" t="s">
        <v>52</v>
      </c>
      <c r="B53" s="25">
        <f aca="true" t="shared" si="16" ref="B53:G53">+B47/B8</f>
        <v>1.2979166666666668</v>
      </c>
      <c r="C53" s="25">
        <f t="shared" si="16"/>
        <v>3.5</v>
      </c>
      <c r="D53" s="25">
        <f t="shared" si="16"/>
        <v>2.216666666666667</v>
      </c>
      <c r="E53" s="25">
        <f t="shared" si="16"/>
        <v>1.5750000000000002</v>
      </c>
      <c r="F53" s="26">
        <f t="shared" si="16"/>
        <v>0.7420000000000001</v>
      </c>
      <c r="G53" s="25">
        <f t="shared" si="16"/>
        <v>1.4000000000000001</v>
      </c>
    </row>
    <row r="54" spans="1:7" ht="15" customHeight="1">
      <c r="A54" s="1" t="s">
        <v>53</v>
      </c>
      <c r="B54" s="39">
        <f aca="true" t="shared" si="17" ref="B54:G54">+B43/B8</f>
        <v>1.423611111111111</v>
      </c>
      <c r="C54" s="39">
        <f t="shared" si="17"/>
        <v>3.3333333333333335</v>
      </c>
      <c r="D54" s="39">
        <f t="shared" si="17"/>
        <v>2.5</v>
      </c>
      <c r="E54" s="39">
        <f t="shared" si="17"/>
        <v>2.0833333333333335</v>
      </c>
      <c r="F54" s="40">
        <f t="shared" si="17"/>
        <v>4.933333333333334</v>
      </c>
      <c r="G54" s="39">
        <f t="shared" si="17"/>
        <v>5.333333333333334</v>
      </c>
    </row>
    <row r="55" spans="1:7" ht="15" customHeight="1">
      <c r="A55" s="41" t="s">
        <v>54</v>
      </c>
      <c r="B55" s="42">
        <f aca="true" t="shared" si="18" ref="B55:G55">SUM(B49:B54)</f>
        <v>11.342040598290598</v>
      </c>
      <c r="C55" s="42">
        <f t="shared" si="18"/>
        <v>11.038194444444445</v>
      </c>
      <c r="D55" s="42">
        <f t="shared" si="18"/>
        <v>8.921527777777778</v>
      </c>
      <c r="E55" s="42">
        <f t="shared" si="18"/>
        <v>7.863194444444444</v>
      </c>
      <c r="F55" s="43">
        <f t="shared" si="18"/>
        <v>9.575333333333333</v>
      </c>
      <c r="G55" s="42">
        <f t="shared" si="18"/>
        <v>10.466666666666669</v>
      </c>
    </row>
    <row r="56" spans="1:7" ht="15" customHeight="1">
      <c r="A56" s="1" t="s">
        <v>55</v>
      </c>
      <c r="B56" s="25">
        <f aca="true" t="shared" si="19" ref="B56:G56">+B32*B12</f>
        <v>3.0769230769230766</v>
      </c>
      <c r="C56" s="25">
        <f t="shared" si="19"/>
        <v>1.3333333333333335</v>
      </c>
      <c r="D56" s="25">
        <f t="shared" si="19"/>
        <v>1.3333333333333335</v>
      </c>
      <c r="E56" s="25">
        <f t="shared" si="19"/>
        <v>1.3333333333333335</v>
      </c>
      <c r="F56" s="25">
        <f t="shared" si="19"/>
        <v>0</v>
      </c>
      <c r="G56" s="25">
        <f t="shared" si="19"/>
        <v>0</v>
      </c>
    </row>
    <row r="57" spans="1:7" ht="15" customHeight="1">
      <c r="A57" s="1" t="s">
        <v>56</v>
      </c>
      <c r="B57" s="29">
        <f aca="true" t="shared" si="20" ref="B57:G57">+B29*B31</f>
        <v>2.564102564102564</v>
      </c>
      <c r="C57" s="29">
        <f t="shared" si="20"/>
        <v>1.1111111111111112</v>
      </c>
      <c r="D57" s="29">
        <f t="shared" si="20"/>
        <v>1.1111111111111112</v>
      </c>
      <c r="E57" s="29">
        <f t="shared" si="20"/>
        <v>1.1111111111111112</v>
      </c>
      <c r="F57" s="30">
        <f t="shared" si="20"/>
        <v>0</v>
      </c>
      <c r="G57" s="29">
        <f t="shared" si="20"/>
        <v>0</v>
      </c>
    </row>
    <row r="58" spans="1:7" ht="15" customHeight="1">
      <c r="A58" s="1" t="s">
        <v>57</v>
      </c>
      <c r="B58" s="44">
        <f aca="true" t="shared" si="21" ref="B58:G58">IF(B$25&gt;0.01,(+B26*B28)/B25,)</f>
        <v>1.893491124260355</v>
      </c>
      <c r="C58" s="44">
        <f t="shared" si="21"/>
        <v>0.5555555555555556</v>
      </c>
      <c r="D58" s="44">
        <f t="shared" si="21"/>
        <v>0.5555555555555556</v>
      </c>
      <c r="E58" s="44">
        <f t="shared" si="21"/>
        <v>0.5555555555555556</v>
      </c>
      <c r="F58" s="44">
        <f t="shared" si="21"/>
        <v>0</v>
      </c>
      <c r="G58" s="44">
        <f t="shared" si="21"/>
        <v>0</v>
      </c>
    </row>
    <row r="59" spans="1:7" ht="15" customHeight="1">
      <c r="A59" s="1" t="s">
        <v>58</v>
      </c>
      <c r="B59" s="42">
        <f aca="true" t="shared" si="22" ref="B59:G59">SUM(B56:B58)</f>
        <v>7.5345167652859955</v>
      </c>
      <c r="C59" s="42">
        <f t="shared" si="22"/>
        <v>3</v>
      </c>
      <c r="D59" s="42">
        <f t="shared" si="22"/>
        <v>3</v>
      </c>
      <c r="E59" s="42">
        <f t="shared" si="22"/>
        <v>3</v>
      </c>
      <c r="F59" s="42">
        <f t="shared" si="22"/>
        <v>0</v>
      </c>
      <c r="G59" s="42">
        <f t="shared" si="22"/>
        <v>0</v>
      </c>
    </row>
    <row r="60" spans="1:8" ht="15" customHeight="1">
      <c r="A60" s="1" t="s">
        <v>59</v>
      </c>
      <c r="B60" s="42">
        <f aca="true" t="shared" si="23" ref="B60:G60">+B55+B59</f>
        <v>18.876557363576595</v>
      </c>
      <c r="C60" s="42">
        <f t="shared" si="23"/>
        <v>14.038194444444445</v>
      </c>
      <c r="D60" s="42">
        <f t="shared" si="23"/>
        <v>11.921527777777778</v>
      </c>
      <c r="E60" s="42">
        <f t="shared" si="23"/>
        <v>10.863194444444444</v>
      </c>
      <c r="F60" s="42">
        <f t="shared" si="23"/>
        <v>9.575333333333333</v>
      </c>
      <c r="G60" s="42">
        <f t="shared" si="23"/>
        <v>10.466666666666669</v>
      </c>
      <c r="H60" s="64" t="s">
        <v>128</v>
      </c>
    </row>
    <row r="61" spans="1:9" ht="15" customHeight="1">
      <c r="A61" s="41" t="s">
        <v>60</v>
      </c>
      <c r="B61" s="25">
        <f aca="true" t="shared" si="24" ref="B61:G61">+B60*B8</f>
        <v>11325.934418145956</v>
      </c>
      <c r="C61" s="25">
        <f t="shared" si="24"/>
        <v>8422.916666666666</v>
      </c>
      <c r="D61" s="25">
        <f t="shared" si="24"/>
        <v>10729.375</v>
      </c>
      <c r="E61" s="25">
        <f t="shared" si="24"/>
        <v>13035.833333333332</v>
      </c>
      <c r="F61" s="25">
        <f t="shared" si="24"/>
        <v>23938.333333333332</v>
      </c>
      <c r="G61" s="25">
        <f t="shared" si="24"/>
        <v>26166.66666666667</v>
      </c>
      <c r="H61" s="69">
        <v>18</v>
      </c>
      <c r="I61" s="64" t="s">
        <v>129</v>
      </c>
    </row>
    <row r="62" spans="1:7" ht="15" customHeight="1">
      <c r="A62" s="41" t="s">
        <v>130</v>
      </c>
      <c r="B62" s="1" t="s">
        <v>126</v>
      </c>
      <c r="C62" s="45">
        <f>+C61-B61</f>
        <v>-2903.0177514792904</v>
      </c>
      <c r="F62" s="70">
        <f>+F$8*(F60-$H$61)</f>
        <v>-21061.666666666668</v>
      </c>
      <c r="G62" s="70">
        <f>+G$8*(G60-$H$61)</f>
        <v>-18833.33333333333</v>
      </c>
    </row>
    <row r="63" spans="1:7" ht="15" customHeight="1">
      <c r="A63" s="41" t="s">
        <v>127</v>
      </c>
      <c r="C63" s="11">
        <f>+C62/C8</f>
        <v>-4.838362919132151</v>
      </c>
      <c r="D63" s="45">
        <f>+D60-$B$60</f>
        <v>-6.955029585798817</v>
      </c>
      <c r="E63" s="45">
        <f>+E60-$B$60</f>
        <v>-8.01336291913215</v>
      </c>
      <c r="G63" s="55"/>
    </row>
    <row r="64" ht="15" customHeight="1">
      <c r="A64" s="8" t="s">
        <v>71</v>
      </c>
    </row>
  </sheetData>
  <sheetProtection/>
  <printOptions/>
  <pageMargins left="0.75" right="0.75" top="0.5" bottom="0.5" header="0.5" footer="0.5"/>
  <pageSetup fitToHeight="1" fitToWidth="1" horizontalDpi="1200" verticalDpi="1200" orientation="portrait" scale="7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71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WITTMAN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WITTMAN</dc:creator>
  <cp:keywords/>
  <dc:description/>
  <cp:lastModifiedBy>Шамаев Иван</cp:lastModifiedBy>
  <cp:lastPrinted>2007-01-18T04:15:33Z</cp:lastPrinted>
  <dcterms:created xsi:type="dcterms:W3CDTF">2006-06-25T12:17:16Z</dcterms:created>
  <dcterms:modified xsi:type="dcterms:W3CDTF">2012-11-20T14:48:21Z</dcterms:modified>
  <cp:category/>
  <cp:version/>
  <cp:contentType/>
  <cp:contentStatus/>
</cp:coreProperties>
</file>