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285" windowWidth="19185" windowHeight="9480" activeTab="3"/>
  </bookViews>
  <sheets>
    <sheet name="Executive Summary" sheetId="3" r:id="rId1"/>
    <sheet name="ChartData" sheetId="4" state="hidden" r:id="rId2"/>
    <sheet name="Item Information" sheetId="2" r:id="rId3"/>
    <sheet name="Activity Information" sheetId="1" r:id="rId4"/>
  </sheets>
  <definedNames>
    <definedName name="ActivityLevel">'Item Information'!#REF!</definedName>
    <definedName name="_xlnm.Print_Area" localSheetId="3">'Activity Information'!$A$1:$W$81</definedName>
    <definedName name="_xlnm.Print_Area" localSheetId="0">'Executive Summary'!$A$1:$T$78</definedName>
    <definedName name="_xlnm.Print_Area" localSheetId="2">'Item Information'!$A$1:$T$31</definedName>
  </definedNames>
  <calcPr calcId="145621"/>
</workbook>
</file>

<file path=xl/calcChain.xml><?xml version="1.0" encoding="utf-8"?>
<calcChain xmlns="http://schemas.openxmlformats.org/spreadsheetml/2006/main">
  <c r="D10" i="3" l="1"/>
  <c r="E10" i="3"/>
  <c r="F10" i="3"/>
  <c r="G10" i="3"/>
  <c r="C10" i="3"/>
  <c r="D11" i="3"/>
  <c r="E11" i="3"/>
  <c r="F11" i="3"/>
  <c r="G11" i="3"/>
  <c r="C11" i="3"/>
  <c r="K64" i="1"/>
  <c r="G64" i="1"/>
  <c r="N51" i="1"/>
  <c r="N52" i="1"/>
  <c r="P52" i="1"/>
  <c r="P50" i="1"/>
  <c r="C65" i="1"/>
  <c r="C64" i="1"/>
  <c r="M64" i="1" s="1"/>
  <c r="C63" i="1"/>
  <c r="C62" i="1"/>
  <c r="M62" i="1" s="1"/>
  <c r="C61" i="1"/>
  <c r="C60" i="1"/>
  <c r="M60" i="1" s="1"/>
  <c r="C59" i="1"/>
  <c r="C58" i="1"/>
  <c r="M58" i="1" s="1"/>
  <c r="C56" i="1"/>
  <c r="C55" i="1"/>
  <c r="M55" i="1" s="1"/>
  <c r="C54" i="1"/>
  <c r="C53" i="1"/>
  <c r="M53" i="1" s="1"/>
  <c r="C52" i="1"/>
  <c r="C51" i="1"/>
  <c r="M51" i="1" s="1"/>
  <c r="C50" i="1"/>
  <c r="C49" i="1"/>
  <c r="M49" i="1" s="1"/>
  <c r="C31" i="1"/>
  <c r="H26" i="2"/>
  <c r="H25" i="2"/>
  <c r="H24" i="2"/>
  <c r="H23" i="2"/>
  <c r="H22" i="2"/>
  <c r="H17" i="2"/>
  <c r="H16" i="2"/>
  <c r="A3" i="4"/>
  <c r="A4" i="4"/>
  <c r="B23" i="3"/>
  <c r="B22" i="3"/>
  <c r="B21" i="3"/>
  <c r="B20" i="3"/>
  <c r="B19" i="3"/>
  <c r="G15" i="3"/>
  <c r="F15" i="3"/>
  <c r="E15" i="3"/>
  <c r="D15" i="3"/>
  <c r="C15" i="3"/>
  <c r="B15" i="3"/>
  <c r="G14" i="3"/>
  <c r="G16" i="3" s="1"/>
  <c r="F14" i="3"/>
  <c r="F16" i="3" s="1"/>
  <c r="E14" i="3"/>
  <c r="E16" i="3" s="1"/>
  <c r="D14" i="3"/>
  <c r="D16" i="3" s="1"/>
  <c r="C14" i="3"/>
  <c r="C16" i="3" s="1"/>
  <c r="B14" i="3"/>
  <c r="G8" i="3"/>
  <c r="F1" i="4" s="1"/>
  <c r="F8" i="3"/>
  <c r="E1" i="4" s="1"/>
  <c r="E8" i="3"/>
  <c r="D1" i="4" s="1"/>
  <c r="D8" i="3"/>
  <c r="C1" i="4" s="1"/>
  <c r="C8" i="3"/>
  <c r="B1" i="4" s="1"/>
  <c r="O50" i="1" l="1"/>
  <c r="M50" i="1"/>
  <c r="K50" i="1"/>
  <c r="O52" i="1"/>
  <c r="M52" i="1"/>
  <c r="K52" i="1"/>
  <c r="M54" i="1"/>
  <c r="K54" i="1"/>
  <c r="M56" i="1"/>
  <c r="K56" i="1"/>
  <c r="M59" i="1"/>
  <c r="K59" i="1"/>
  <c r="M61" i="1"/>
  <c r="K61" i="1"/>
  <c r="I61" i="1"/>
  <c r="K63" i="1"/>
  <c r="M63" i="1"/>
  <c r="I63" i="1"/>
  <c r="K65" i="1"/>
  <c r="G65" i="1"/>
  <c r="M65" i="1"/>
  <c r="I65" i="1"/>
  <c r="P51" i="1"/>
  <c r="O51" i="1"/>
  <c r="E52" i="1"/>
  <c r="E56" i="1"/>
  <c r="E61" i="1"/>
  <c r="E65" i="1"/>
  <c r="G50" i="1"/>
  <c r="G54" i="1"/>
  <c r="G59" i="1"/>
  <c r="I50" i="1"/>
  <c r="I54" i="1"/>
  <c r="I59" i="1"/>
  <c r="M66" i="1"/>
  <c r="E50" i="1"/>
  <c r="E54" i="1"/>
  <c r="E59" i="1"/>
  <c r="E63" i="1"/>
  <c r="G52" i="1"/>
  <c r="G56" i="1"/>
  <c r="G61" i="1"/>
  <c r="I52" i="1"/>
  <c r="I56" i="1"/>
  <c r="E49" i="1"/>
  <c r="E51" i="1"/>
  <c r="E53" i="1"/>
  <c r="E55" i="1"/>
  <c r="E58" i="1"/>
  <c r="E60" i="1"/>
  <c r="E62" i="1"/>
  <c r="E64" i="1"/>
  <c r="G49" i="1"/>
  <c r="G51" i="1"/>
  <c r="G53" i="1"/>
  <c r="G55" i="1"/>
  <c r="G58" i="1"/>
  <c r="G60" i="1"/>
  <c r="G62" i="1"/>
  <c r="I49" i="1"/>
  <c r="I51" i="1"/>
  <c r="I53" i="1"/>
  <c r="I55" i="1"/>
  <c r="I58" i="1"/>
  <c r="I60" i="1"/>
  <c r="I62" i="1"/>
  <c r="I64" i="1"/>
  <c r="K49" i="1"/>
  <c r="K51" i="1"/>
  <c r="K53" i="1"/>
  <c r="K55" i="1"/>
  <c r="K58" i="1"/>
  <c r="K60" i="1"/>
  <c r="G31" i="3"/>
  <c r="E31" i="3"/>
  <c r="C31" i="3"/>
  <c r="F31" i="3"/>
  <c r="D31" i="3"/>
  <c r="E69" i="1"/>
  <c r="G63" i="1"/>
  <c r="G70" i="1"/>
  <c r="I71" i="1"/>
  <c r="K62" i="1"/>
  <c r="K72" i="1"/>
  <c r="M73" i="1"/>
  <c r="M74" i="1" s="1"/>
  <c r="N49" i="1"/>
  <c r="N53" i="1"/>
  <c r="N54" i="1"/>
  <c r="P54" i="1" s="1"/>
  <c r="N55" i="1"/>
  <c r="N56" i="1"/>
  <c r="P56" i="1" s="1"/>
  <c r="N58" i="1"/>
  <c r="N59" i="1"/>
  <c r="P59" i="1" s="1"/>
  <c r="N60" i="1"/>
  <c r="N61" i="1"/>
  <c r="P61" i="1" s="1"/>
  <c r="N62" i="1"/>
  <c r="N63" i="1"/>
  <c r="P63" i="1" s="1"/>
  <c r="N64" i="1"/>
  <c r="N65" i="1"/>
  <c r="P65" i="1" s="1"/>
  <c r="C11" i="1"/>
  <c r="C48" i="1" s="1"/>
  <c r="B23" i="2"/>
  <c r="B24" i="2"/>
  <c r="B25" i="2"/>
  <c r="B26" i="2"/>
  <c r="B22" i="2"/>
  <c r="D21" i="2"/>
  <c r="E21" i="2"/>
  <c r="F21" i="2"/>
  <c r="G21" i="2"/>
  <c r="C21" i="2"/>
  <c r="C10" i="1"/>
  <c r="B70" i="1"/>
  <c r="B71" i="1"/>
  <c r="B72" i="1"/>
  <c r="B73" i="1"/>
  <c r="B69" i="1"/>
  <c r="D46" i="1"/>
  <c r="F46" i="1"/>
  <c r="H46" i="1"/>
  <c r="J46" i="1"/>
  <c r="L46" i="1"/>
  <c r="B59" i="1"/>
  <c r="B60" i="1"/>
  <c r="B61" i="1"/>
  <c r="B62" i="1"/>
  <c r="B63" i="1"/>
  <c r="B64" i="1"/>
  <c r="B65" i="1"/>
  <c r="B58" i="1"/>
  <c r="B48" i="1"/>
  <c r="B49" i="1"/>
  <c r="B50" i="1"/>
  <c r="B51" i="1"/>
  <c r="B52" i="1"/>
  <c r="B53" i="1"/>
  <c r="B54" i="1"/>
  <c r="B55" i="1"/>
  <c r="B56" i="1"/>
  <c r="B47" i="1"/>
  <c r="P49" i="1" l="1"/>
  <c r="O49" i="1"/>
  <c r="K66" i="1"/>
  <c r="K74" i="1" s="1"/>
  <c r="I66" i="1"/>
  <c r="I74" i="1" s="1"/>
  <c r="O65" i="1"/>
  <c r="O63" i="1"/>
  <c r="O61" i="1"/>
  <c r="O56" i="1"/>
  <c r="P64" i="1"/>
  <c r="O64" i="1"/>
  <c r="P62" i="1"/>
  <c r="O62" i="1"/>
  <c r="P60" i="1"/>
  <c r="O60" i="1"/>
  <c r="P58" i="1"/>
  <c r="O58" i="1"/>
  <c r="P55" i="1"/>
  <c r="O55" i="1"/>
  <c r="P53" i="1"/>
  <c r="O53" i="1"/>
  <c r="G66" i="1"/>
  <c r="G74" i="1" s="1"/>
  <c r="E66" i="1"/>
  <c r="E74" i="1" s="1"/>
  <c r="O59" i="1"/>
  <c r="O54" i="1"/>
  <c r="C2" i="4"/>
  <c r="E2" i="4"/>
  <c r="B2" i="4"/>
  <c r="D2" i="4"/>
  <c r="F2" i="4"/>
  <c r="C20" i="1"/>
  <c r="C47" i="1"/>
  <c r="O66" i="1" l="1"/>
  <c r="O74" i="1" s="1"/>
  <c r="G22" i="3"/>
  <c r="E22" i="3"/>
  <c r="C22" i="3"/>
  <c r="F22" i="3"/>
  <c r="D22" i="3"/>
  <c r="G21" i="3"/>
  <c r="E21" i="3"/>
  <c r="C21" i="3"/>
  <c r="F21" i="3"/>
  <c r="D21" i="3"/>
  <c r="G20" i="3"/>
  <c r="E20" i="3"/>
  <c r="C20" i="3"/>
  <c r="F20" i="3"/>
  <c r="D20" i="3"/>
  <c r="G19" i="3"/>
  <c r="E19" i="3"/>
  <c r="C19" i="3"/>
  <c r="F19" i="3"/>
  <c r="D19" i="3"/>
  <c r="G23" i="3"/>
  <c r="E23" i="3"/>
  <c r="C23" i="3"/>
  <c r="F23" i="3"/>
  <c r="D23" i="3"/>
  <c r="F27" i="3"/>
  <c r="D27" i="3"/>
  <c r="G27" i="3"/>
  <c r="E27" i="3"/>
  <c r="C27" i="3"/>
  <c r="E34" i="3" l="1"/>
  <c r="D4" i="4" s="1"/>
  <c r="D34" i="3"/>
  <c r="C4" i="4" s="1"/>
  <c r="F24" i="3"/>
  <c r="E24" i="3"/>
  <c r="C34" i="3"/>
  <c r="B4" i="4" s="1"/>
  <c r="G34" i="3"/>
  <c r="F4" i="4" s="1"/>
  <c r="F34" i="3"/>
  <c r="E4" i="4" s="1"/>
  <c r="D24" i="3"/>
  <c r="C24" i="3"/>
  <c r="G24" i="3"/>
  <c r="C32" i="3" l="1"/>
  <c r="C25" i="3"/>
  <c r="C28" i="3" s="1"/>
  <c r="G32" i="3"/>
  <c r="G25" i="3"/>
  <c r="G28" i="3" s="1"/>
  <c r="D32" i="3"/>
  <c r="D25" i="3"/>
  <c r="D28" i="3" s="1"/>
  <c r="F32" i="3"/>
  <c r="F25" i="3"/>
  <c r="F28" i="3" s="1"/>
  <c r="E32" i="3"/>
  <c r="E25" i="3"/>
  <c r="E28" i="3" s="1"/>
  <c r="E33" i="3" l="1"/>
  <c r="E35" i="3" s="1"/>
  <c r="D6" i="4" s="1"/>
  <c r="D3" i="4"/>
  <c r="D5" i="4" s="1"/>
  <c r="F33" i="3"/>
  <c r="F35" i="3" s="1"/>
  <c r="E6" i="4" s="1"/>
  <c r="E3" i="4"/>
  <c r="E5" i="4" s="1"/>
  <c r="G33" i="3"/>
  <c r="G35" i="3" s="1"/>
  <c r="F6" i="4" s="1"/>
  <c r="F3" i="4"/>
  <c r="F5" i="4" s="1"/>
  <c r="C33" i="3"/>
  <c r="C35" i="3" s="1"/>
  <c r="B6" i="4" s="1"/>
  <c r="B3" i="4"/>
  <c r="B5" i="4" s="1"/>
  <c r="D33" i="3"/>
  <c r="D35" i="3" s="1"/>
  <c r="C6" i="4" s="1"/>
  <c r="C3" i="4"/>
  <c r="C5" i="4" s="1"/>
</calcChain>
</file>

<file path=xl/sharedStrings.xml><?xml version="1.0" encoding="utf-8"?>
<sst xmlns="http://schemas.openxmlformats.org/spreadsheetml/2006/main" count="104" uniqueCount="84">
  <si>
    <t>Activity Based Costing Example</t>
  </si>
  <si>
    <t>Identify Activities</t>
  </si>
  <si>
    <t>Activity</t>
  </si>
  <si>
    <t>Procure materials</t>
  </si>
  <si>
    <t>Manufacturing</t>
  </si>
  <si>
    <t>Shipping</t>
  </si>
  <si>
    <t>Marketing/customer service</t>
  </si>
  <si>
    <t>Direct materials</t>
  </si>
  <si>
    <t>Direct labor</t>
  </si>
  <si>
    <t>Indirect labor</t>
  </si>
  <si>
    <t>Supplies</t>
  </si>
  <si>
    <t>Freight in</t>
  </si>
  <si>
    <t>Misc employee expenses</t>
  </si>
  <si>
    <t>Depreciation</t>
  </si>
  <si>
    <t>Maintenance</t>
  </si>
  <si>
    <t>Utilities</t>
  </si>
  <si>
    <t>Lease expense</t>
  </si>
  <si>
    <t>Total operating expenses</t>
  </si>
  <si>
    <t>Operating Expenses</t>
  </si>
  <si>
    <t>Amount</t>
  </si>
  <si>
    <t>COGS Expenses</t>
  </si>
  <si>
    <t>Total COGS expenses</t>
  </si>
  <si>
    <t>Salaries</t>
  </si>
  <si>
    <t>Misc employee expense</t>
  </si>
  <si>
    <t>Metric</t>
  </si>
  <si>
    <t>Number of POs</t>
  </si>
  <si>
    <t>Number of manufacturing batches</t>
  </si>
  <si>
    <t>Number of shipments</t>
  </si>
  <si>
    <t>Number of customers</t>
  </si>
  <si>
    <t>Number of products designed</t>
  </si>
  <si>
    <t>Research &amp; development</t>
  </si>
  <si>
    <t>Unallocated</t>
  </si>
  <si>
    <t>Totals</t>
  </si>
  <si>
    <t>Activity Metric</t>
  </si>
  <si>
    <t>Activity cost per measure</t>
  </si>
  <si>
    <t>Product Profitability Analysis</t>
  </si>
  <si>
    <t>Item1</t>
  </si>
  <si>
    <t>Item2</t>
  </si>
  <si>
    <t>Item3</t>
  </si>
  <si>
    <t>Item4</t>
  </si>
  <si>
    <t>Item5</t>
  </si>
  <si>
    <t>Direct Costs</t>
  </si>
  <si>
    <t>Activities</t>
  </si>
  <si>
    <t>Activity Metric Breakdown</t>
  </si>
  <si>
    <t>Sales dollars</t>
  </si>
  <si>
    <t>Total allocated costs</t>
  </si>
  <si>
    <t>Share of unallocated costs</t>
  </si>
  <si>
    <t>Sales units</t>
  </si>
  <si>
    <t>Per Unit Breakdown</t>
  </si>
  <si>
    <t>Average sales price per unit</t>
  </si>
  <si>
    <t>Total item margin</t>
  </si>
  <si>
    <t>Direct and allocated cost per unit</t>
  </si>
  <si>
    <t>Item margin per unit</t>
  </si>
  <si>
    <t>Unallocated cost per unit</t>
  </si>
  <si>
    <t>Total item operating profit</t>
  </si>
  <si>
    <t>Operating profit per unit</t>
  </si>
  <si>
    <t>Total direct costs</t>
  </si>
  <si>
    <t>Notes</t>
  </si>
  <si>
    <t xml:space="preserve">    does not outweigh the benefits.</t>
  </si>
  <si>
    <t>WHITE CELLS ARE ADJUSTABLE</t>
  </si>
  <si>
    <t>Item</t>
  </si>
  <si>
    <r>
      <t>1</t>
    </r>
    <r>
      <rPr>
        <sz val="10"/>
        <color indexed="8"/>
        <rFont val="Arial"/>
        <family val="2"/>
      </rPr>
      <t xml:space="preserve">  Costs are reflected as (negative) in this section to better contrast with sales.</t>
    </r>
  </si>
  <si>
    <t>Total</t>
  </si>
  <si>
    <t>Sales Price</t>
  </si>
  <si>
    <t>Full cost</t>
  </si>
  <si>
    <t>Operating profit</t>
  </si>
  <si>
    <r>
      <t>1</t>
    </r>
    <r>
      <rPr>
        <sz val="10"/>
        <color indexed="8"/>
        <rFont val="Arial"/>
        <family val="2"/>
      </rPr>
      <t xml:space="preserve">  For the purposes of this example, a value of "1" means that this item was developed during the relevant period.</t>
    </r>
  </si>
  <si>
    <t>Item and Sales Information</t>
  </si>
  <si>
    <t>Direct Cost Information</t>
  </si>
  <si>
    <t>The activity metrics are specified on the Analysis worksheet</t>
  </si>
  <si>
    <t>These totals are pulled from the Data worksheet</t>
  </si>
  <si>
    <t>Direct costs are broken out by item on the Data worksheet</t>
  </si>
  <si>
    <t>"</t>
  </si>
  <si>
    <r>
      <t>1</t>
    </r>
    <r>
      <rPr>
        <sz val="10"/>
        <color indexed="8"/>
        <rFont val="Arial"/>
        <family val="2"/>
      </rPr>
      <t xml:space="preserve">  These figures should represent actual amounts spent.  Therefore, they may not match what is shown on the income statement due to the use of accrual accounting.</t>
    </r>
  </si>
  <si>
    <t>Cost Outline</t>
  </si>
  <si>
    <r>
      <t>2</t>
    </r>
    <r>
      <rPr>
        <sz val="10"/>
        <color indexed="8"/>
        <rFont val="Arial"/>
        <family val="2"/>
      </rPr>
      <t xml:space="preserve">  For simplicities sake, only a handful of activities are initially recommended.  This is to help assure that the costs associated with data collection</t>
    </r>
  </si>
  <si>
    <t>Cost Breakdown by Activity</t>
  </si>
  <si>
    <t>Direct costs are already traceable to the individual items and do not need to be allocated</t>
  </si>
  <si>
    <t>The sum of the percentages must = 100%</t>
  </si>
  <si>
    <t>totals / Total of the Activity Metric on the Item Information worksheet</t>
  </si>
  <si>
    <t>Sales</t>
  </si>
  <si>
    <t>Sales dollars / Sales units</t>
  </si>
  <si>
    <t>(Total direct costs + Total allocated costs) / Sales units</t>
  </si>
  <si>
    <t>Share of unallocated costs / Sales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</si>
</sst>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rgb="FFFF7940"/>
      <name val="Arial"/>
      <family val="2"/>
    </font>
    <font>
      <b/>
      <sz val="10"/>
      <color rgb="FF95002B"/>
      <name val="Arial"/>
      <family val="2"/>
    </font>
    <font>
      <b/>
      <sz val="10"/>
      <color rgb="FFFFC473"/>
      <name val="Arial"/>
      <family val="2"/>
    </font>
    <font>
      <sz val="10"/>
      <color rgb="FFFFC473"/>
      <name val="Arial"/>
      <family val="2"/>
    </font>
    <font>
      <sz val="10"/>
      <color rgb="FFA66000"/>
      <name val="Arial"/>
      <family val="2"/>
    </font>
    <font>
      <b/>
      <sz val="10"/>
      <color rgb="FFA66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5002B"/>
        <bgColor indexed="64"/>
      </patternFill>
    </fill>
    <fill>
      <patternFill patternType="solid">
        <fgColor rgb="FFFF7940"/>
        <bgColor indexed="64"/>
      </patternFill>
    </fill>
    <fill>
      <patternFill patternType="solid">
        <fgColor rgb="FFA66000"/>
        <bgColor indexed="64"/>
      </patternFill>
    </fill>
    <fill>
      <patternFill patternType="solid">
        <fgColor rgb="FFFFC47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FFC473"/>
      </bottom>
      <diagonal/>
    </border>
    <border>
      <left/>
      <right style="thin">
        <color auto="1"/>
      </right>
      <top style="thin">
        <color auto="1"/>
      </top>
      <bottom style="thin">
        <color rgb="FFFFC47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rgb="FFA66000"/>
      </right>
      <top style="thin">
        <color rgb="FFFFC473"/>
      </top>
      <bottom/>
      <diagonal/>
    </border>
    <border>
      <left style="thin">
        <color rgb="FFA66000"/>
      </left>
      <right style="thin">
        <color auto="1"/>
      </right>
      <top style="thin">
        <color rgb="FFFFC473"/>
      </top>
      <bottom/>
      <diagonal/>
    </border>
    <border>
      <left style="thin">
        <color auto="1"/>
      </left>
      <right style="thin">
        <color rgb="FFA66000"/>
      </right>
      <top/>
      <bottom style="thin">
        <color auto="1"/>
      </bottom>
      <diagonal/>
    </border>
    <border>
      <left style="thin">
        <color rgb="FFA6600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A66000"/>
      </right>
      <top style="thin">
        <color auto="1"/>
      </top>
      <bottom style="double">
        <color indexed="64"/>
      </bottom>
      <diagonal/>
    </border>
    <border>
      <left style="thin">
        <color rgb="FFA66000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C473"/>
      </left>
      <right/>
      <top style="thin">
        <color indexed="64"/>
      </top>
      <bottom/>
      <diagonal/>
    </border>
    <border>
      <left/>
      <right style="thin">
        <color rgb="FFFFC473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C473"/>
      </bottom>
      <diagonal/>
    </border>
    <border>
      <left style="thin">
        <color indexed="64"/>
      </left>
      <right style="thin">
        <color indexed="64"/>
      </right>
      <top style="thin">
        <color rgb="FFFFC473"/>
      </top>
      <bottom style="thin">
        <color rgb="FFFFC473"/>
      </bottom>
      <diagonal/>
    </border>
    <border>
      <left style="thin">
        <color indexed="64"/>
      </left>
      <right style="thin">
        <color indexed="64"/>
      </right>
      <top style="thin">
        <color rgb="FFFFC473"/>
      </top>
      <bottom style="double">
        <color indexed="64"/>
      </bottom>
      <diagonal/>
    </border>
    <border>
      <left style="thin">
        <color rgb="FFA66000"/>
      </left>
      <right style="thin">
        <color indexed="64"/>
      </right>
      <top style="thin">
        <color indexed="64"/>
      </top>
      <bottom/>
      <diagonal/>
    </border>
    <border>
      <left style="thin">
        <color rgb="FFA66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A66000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FFC473"/>
      </top>
      <bottom style="thin">
        <color indexed="64"/>
      </bottom>
      <diagonal/>
    </border>
    <border>
      <left style="thin">
        <color indexed="64"/>
      </left>
      <right/>
      <top style="thin">
        <color rgb="FFFFC473"/>
      </top>
      <bottom style="thin">
        <color rgb="FFFFC473"/>
      </bottom>
      <diagonal/>
    </border>
    <border>
      <left style="thin">
        <color indexed="64"/>
      </left>
      <right/>
      <top style="thin">
        <color rgb="FFFFC473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A66000"/>
      </left>
      <right/>
      <top style="thin">
        <color auto="1"/>
      </top>
      <bottom/>
      <diagonal/>
    </border>
    <border>
      <left style="thin">
        <color rgb="FFA66000"/>
      </left>
      <right/>
      <top/>
      <bottom/>
      <diagonal/>
    </border>
    <border>
      <left style="thin">
        <color rgb="FFA66000"/>
      </left>
      <right/>
      <top/>
      <bottom style="thin">
        <color indexed="64"/>
      </bottom>
      <diagonal/>
    </border>
    <border>
      <left style="thin">
        <color rgb="FFA66000"/>
      </left>
      <right/>
      <top style="thin">
        <color rgb="FFA66000"/>
      </top>
      <bottom style="thin">
        <color rgb="FFA66000"/>
      </bottom>
      <diagonal/>
    </border>
    <border>
      <left/>
      <right/>
      <top style="thin">
        <color rgb="FFA66000"/>
      </top>
      <bottom style="thin">
        <color rgb="FFA66000"/>
      </bottom>
      <diagonal/>
    </border>
    <border>
      <left/>
      <right style="thin">
        <color indexed="64"/>
      </right>
      <top style="thin">
        <color rgb="FFA66000"/>
      </top>
      <bottom style="thin">
        <color rgb="FFA66000"/>
      </bottom>
      <diagonal/>
    </border>
    <border>
      <left style="thin">
        <color rgb="FFA66000"/>
      </left>
      <right/>
      <top style="thin">
        <color rgb="FFA66000"/>
      </top>
      <bottom style="thin">
        <color indexed="64"/>
      </bottom>
      <diagonal/>
    </border>
    <border>
      <left/>
      <right/>
      <top style="thin">
        <color rgb="FFA66000"/>
      </top>
      <bottom style="thin">
        <color indexed="64"/>
      </bottom>
      <diagonal/>
    </border>
    <border>
      <left/>
      <right style="thin">
        <color indexed="64"/>
      </right>
      <top style="thin">
        <color rgb="FFA66000"/>
      </top>
      <bottom style="thin">
        <color indexed="64"/>
      </bottom>
      <diagonal/>
    </border>
    <border>
      <left style="thin">
        <color rgb="FFA66000"/>
      </left>
      <right/>
      <top style="thin">
        <color rgb="FFA66000"/>
      </top>
      <bottom style="double">
        <color indexed="64"/>
      </bottom>
      <diagonal/>
    </border>
    <border>
      <left/>
      <right/>
      <top style="thin">
        <color rgb="FFA66000"/>
      </top>
      <bottom style="double">
        <color indexed="64"/>
      </bottom>
      <diagonal/>
    </border>
    <border>
      <left/>
      <right style="thin">
        <color auto="1"/>
      </right>
      <top style="thin">
        <color rgb="FFA66000"/>
      </top>
      <bottom style="double">
        <color indexed="64"/>
      </bottom>
      <diagonal/>
    </border>
    <border>
      <left style="thin">
        <color rgb="FFA66000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66000"/>
      </bottom>
      <diagonal/>
    </border>
    <border>
      <left style="thin">
        <color indexed="64"/>
      </left>
      <right style="thin">
        <color indexed="64"/>
      </right>
      <top style="thin">
        <color rgb="FFA66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A66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A66000"/>
      </bottom>
      <diagonal/>
    </border>
    <border>
      <left/>
      <right style="thin">
        <color indexed="64"/>
      </right>
      <top/>
      <bottom style="thin">
        <color rgb="FFA66000"/>
      </bottom>
      <diagonal/>
    </border>
  </borders>
  <cellStyleXfs count="4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8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/>
    <xf numFmtId="0" fontId="7" fillId="2" borderId="2" xfId="0" applyFont="1" applyFill="1" applyBorder="1"/>
    <xf numFmtId="168" fontId="3" fillId="2" borderId="0" xfId="0" applyNumberFormat="1" applyFont="1" applyFill="1"/>
    <xf numFmtId="0" fontId="3" fillId="2" borderId="0" xfId="0" applyFont="1" applyFill="1" applyBorder="1"/>
    <xf numFmtId="0" fontId="3" fillId="2" borderId="2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168" fontId="7" fillId="2" borderId="0" xfId="2" applyNumberFormat="1" applyFont="1" applyFill="1" applyBorder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164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167" fontId="16" fillId="5" borderId="6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3" fillId="2" borderId="8" xfId="0" applyFont="1" applyFill="1" applyBorder="1"/>
    <xf numFmtId="167" fontId="3" fillId="2" borderId="9" xfId="1" applyNumberFormat="1" applyFont="1" applyFill="1" applyBorder="1"/>
    <xf numFmtId="0" fontId="3" fillId="2" borderId="10" xfId="0" applyFont="1" applyFill="1" applyBorder="1"/>
    <xf numFmtId="167" fontId="3" fillId="2" borderId="11" xfId="1" applyNumberFormat="1" applyFont="1" applyFill="1" applyBorder="1"/>
    <xf numFmtId="0" fontId="17" fillId="5" borderId="12" xfId="0" applyFont="1" applyFill="1" applyBorder="1"/>
    <xf numFmtId="168" fontId="18" fillId="6" borderId="13" xfId="2" applyNumberFormat="1" applyFont="1" applyFill="1" applyBorder="1"/>
    <xf numFmtId="0" fontId="17" fillId="5" borderId="14" xfId="0" applyFont="1" applyFill="1" applyBorder="1"/>
    <xf numFmtId="167" fontId="18" fillId="6" borderId="15" xfId="1" applyNumberFormat="1" applyFont="1" applyFill="1" applyBorder="1"/>
    <xf numFmtId="167" fontId="16" fillId="5" borderId="4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16" xfId="0" applyFont="1" applyFill="1" applyBorder="1"/>
    <xf numFmtId="168" fontId="19" fillId="6" borderId="17" xfId="2" applyNumberFormat="1" applyFont="1" applyFill="1" applyBorder="1"/>
    <xf numFmtId="0" fontId="6" fillId="2" borderId="19" xfId="0" applyFont="1" applyFill="1" applyBorder="1"/>
    <xf numFmtId="168" fontId="6" fillId="2" borderId="20" xfId="2" applyNumberFormat="1" applyFont="1" applyFill="1" applyBorder="1"/>
    <xf numFmtId="0" fontId="6" fillId="2" borderId="10" xfId="0" applyFont="1" applyFill="1" applyBorder="1"/>
    <xf numFmtId="167" fontId="6" fillId="2" borderId="11" xfId="1" applyNumberFormat="1" applyFont="1" applyFill="1" applyBorder="1"/>
    <xf numFmtId="0" fontId="6" fillId="2" borderId="21" xfId="0" applyFont="1" applyFill="1" applyBorder="1"/>
    <xf numFmtId="167" fontId="6" fillId="2" borderId="22" xfId="1" applyNumberFormat="1" applyFont="1" applyFill="1" applyBorder="1"/>
    <xf numFmtId="0" fontId="15" fillId="4" borderId="18" xfId="0" applyFont="1" applyFill="1" applyBorder="1" applyAlignment="1">
      <alignment horizontal="center"/>
    </xf>
    <xf numFmtId="167" fontId="16" fillId="5" borderId="23" xfId="0" applyNumberFormat="1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21" xfId="0" applyFont="1" applyFill="1" applyBorder="1"/>
    <xf numFmtId="0" fontId="17" fillId="5" borderId="28" xfId="0" applyFont="1" applyFill="1" applyBorder="1"/>
    <xf numFmtId="0" fontId="17" fillId="5" borderId="32" xfId="0" applyFont="1" applyFill="1" applyBorder="1"/>
    <xf numFmtId="0" fontId="17" fillId="5" borderId="1" xfId="0" applyFont="1" applyFill="1" applyBorder="1"/>
    <xf numFmtId="167" fontId="16" fillId="5" borderId="33" xfId="0" applyNumberFormat="1" applyFont="1" applyFill="1" applyBorder="1" applyAlignment="1">
      <alignment horizontal="center"/>
    </xf>
    <xf numFmtId="167" fontId="16" fillId="5" borderId="34" xfId="0" applyNumberFormat="1" applyFont="1" applyFill="1" applyBorder="1" applyAlignment="1">
      <alignment horizontal="center"/>
    </xf>
    <xf numFmtId="0" fontId="16" fillId="5" borderId="35" xfId="0" applyFont="1" applyFill="1" applyBorder="1"/>
    <xf numFmtId="0" fontId="7" fillId="2" borderId="31" xfId="0" applyFont="1" applyFill="1" applyBorder="1"/>
    <xf numFmtId="167" fontId="18" fillId="6" borderId="32" xfId="1" applyNumberFormat="1" applyFont="1" applyFill="1" applyBorder="1"/>
    <xf numFmtId="167" fontId="18" fillId="6" borderId="1" xfId="1" applyNumberFormat="1" applyFont="1" applyFill="1" applyBorder="1"/>
    <xf numFmtId="0" fontId="17" fillId="5" borderId="10" xfId="0" applyFont="1" applyFill="1" applyBorder="1"/>
    <xf numFmtId="168" fontId="18" fillId="6" borderId="36" xfId="0" applyNumberFormat="1" applyFont="1" applyFill="1" applyBorder="1"/>
    <xf numFmtId="167" fontId="18" fillId="6" borderId="37" xfId="1" applyNumberFormat="1" applyFont="1" applyFill="1" applyBorder="1"/>
    <xf numFmtId="167" fontId="18" fillId="6" borderId="36" xfId="1" applyNumberFormat="1" applyFont="1" applyFill="1" applyBorder="1"/>
    <xf numFmtId="168" fontId="18" fillId="6" borderId="15" xfId="2" applyNumberFormat="1" applyFont="1" applyFill="1" applyBorder="1"/>
    <xf numFmtId="0" fontId="6" fillId="7" borderId="27" xfId="0" applyFont="1" applyFill="1" applyBorder="1"/>
    <xf numFmtId="0" fontId="6" fillId="7" borderId="19" xfId="0" applyFont="1" applyFill="1" applyBorder="1"/>
    <xf numFmtId="0" fontId="6" fillId="7" borderId="26" xfId="0" applyFont="1" applyFill="1" applyBorder="1"/>
    <xf numFmtId="0" fontId="6" fillId="7" borderId="21" xfId="0" applyFont="1" applyFill="1" applyBorder="1"/>
    <xf numFmtId="167" fontId="18" fillId="6" borderId="28" xfId="0" applyNumberFormat="1" applyFont="1" applyFill="1" applyBorder="1"/>
    <xf numFmtId="167" fontId="18" fillId="6" borderId="32" xfId="0" applyNumberFormat="1" applyFont="1" applyFill="1" applyBorder="1"/>
    <xf numFmtId="167" fontId="18" fillId="6" borderId="1" xfId="0" applyNumberFormat="1" applyFont="1" applyFill="1" applyBorder="1"/>
    <xf numFmtId="9" fontId="6" fillId="2" borderId="28" xfId="3" applyNumberFormat="1" applyFont="1" applyFill="1" applyBorder="1"/>
    <xf numFmtId="9" fontId="6" fillId="2" borderId="32" xfId="3" applyNumberFormat="1" applyFont="1" applyFill="1" applyBorder="1"/>
    <xf numFmtId="9" fontId="6" fillId="2" borderId="1" xfId="3" applyNumberFormat="1" applyFont="1" applyFill="1" applyBorder="1"/>
    <xf numFmtId="9" fontId="3" fillId="2" borderId="28" xfId="3" applyNumberFormat="1" applyFont="1" applyFill="1" applyBorder="1"/>
    <xf numFmtId="9" fontId="3" fillId="2" borderId="32" xfId="3" applyNumberFormat="1" applyFont="1" applyFill="1" applyBorder="1"/>
    <xf numFmtId="9" fontId="3" fillId="2" borderId="1" xfId="3" applyNumberFormat="1" applyFont="1" applyFill="1" applyBorder="1"/>
    <xf numFmtId="168" fontId="19" fillId="6" borderId="38" xfId="2" applyNumberFormat="1" applyFont="1" applyFill="1" applyBorder="1"/>
    <xf numFmtId="0" fontId="18" fillId="6" borderId="18" xfId="0" applyFont="1" applyFill="1" applyBorder="1"/>
    <xf numFmtId="168" fontId="19" fillId="6" borderId="39" xfId="2" applyNumberFormat="1" applyFont="1" applyFill="1" applyBorder="1"/>
    <xf numFmtId="0" fontId="16" fillId="5" borderId="2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17" fillId="5" borderId="40" xfId="0" applyFont="1" applyFill="1" applyBorder="1"/>
    <xf numFmtId="0" fontId="17" fillId="5" borderId="41" xfId="1" applyNumberFormat="1" applyFont="1" applyFill="1" applyBorder="1"/>
    <xf numFmtId="0" fontId="16" fillId="5" borderId="21" xfId="0" applyFont="1" applyFill="1" applyBorder="1"/>
    <xf numFmtId="0" fontId="17" fillId="5" borderId="19" xfId="0" applyFont="1" applyFill="1" applyBorder="1"/>
    <xf numFmtId="0" fontId="16" fillId="5" borderId="42" xfId="0" applyFont="1" applyFill="1" applyBorder="1"/>
    <xf numFmtId="0" fontId="16" fillId="5" borderId="41" xfId="0" applyFont="1" applyFill="1" applyBorder="1"/>
    <xf numFmtId="0" fontId="17" fillId="5" borderId="41" xfId="0" applyFont="1" applyFill="1" applyBorder="1"/>
    <xf numFmtId="0" fontId="16" fillId="5" borderId="43" xfId="0" applyFont="1" applyFill="1" applyBorder="1"/>
    <xf numFmtId="167" fontId="18" fillId="6" borderId="44" xfId="1" applyNumberFormat="1" applyFont="1" applyFill="1" applyBorder="1"/>
    <xf numFmtId="167" fontId="18" fillId="6" borderId="26" xfId="1" applyNumberFormat="1" applyFont="1" applyFill="1" applyBorder="1"/>
    <xf numFmtId="167" fontId="18" fillId="6" borderId="20" xfId="1" applyNumberFormat="1" applyFont="1" applyFill="1" applyBorder="1"/>
    <xf numFmtId="167" fontId="18" fillId="6" borderId="45" xfId="1" applyNumberFormat="1" applyFont="1" applyFill="1" applyBorder="1"/>
    <xf numFmtId="167" fontId="18" fillId="6" borderId="0" xfId="1" applyNumberFormat="1" applyFont="1" applyFill="1" applyBorder="1"/>
    <xf numFmtId="167" fontId="18" fillId="6" borderId="11" xfId="1" applyNumberFormat="1" applyFont="1" applyFill="1" applyBorder="1"/>
    <xf numFmtId="167" fontId="18" fillId="6" borderId="44" xfId="0" applyNumberFormat="1" applyFont="1" applyFill="1" applyBorder="1"/>
    <xf numFmtId="167" fontId="18" fillId="6" borderId="26" xfId="0" applyNumberFormat="1" applyFont="1" applyFill="1" applyBorder="1"/>
    <xf numFmtId="167" fontId="18" fillId="6" borderId="20" xfId="0" applyNumberFormat="1" applyFont="1" applyFill="1" applyBorder="1"/>
    <xf numFmtId="165" fontId="18" fillId="6" borderId="44" xfId="2" applyNumberFormat="1" applyFont="1" applyFill="1" applyBorder="1"/>
    <xf numFmtId="165" fontId="18" fillId="6" borderId="26" xfId="2" applyNumberFormat="1" applyFont="1" applyFill="1" applyBorder="1"/>
    <xf numFmtId="165" fontId="18" fillId="6" borderId="20" xfId="2" applyNumberFormat="1" applyFont="1" applyFill="1" applyBorder="1"/>
    <xf numFmtId="166" fontId="18" fillId="6" borderId="45" xfId="1" applyFont="1" applyFill="1" applyBorder="1"/>
    <xf numFmtId="168" fontId="19" fillId="6" borderId="46" xfId="2" applyNumberFormat="1" applyFont="1" applyFill="1" applyBorder="1"/>
    <xf numFmtId="167" fontId="18" fillId="6" borderId="47" xfId="1" applyNumberFormat="1" applyFont="1" applyFill="1" applyBorder="1"/>
    <xf numFmtId="167" fontId="18" fillId="6" borderId="48" xfId="1" applyNumberFormat="1" applyFont="1" applyFill="1" applyBorder="1"/>
    <xf numFmtId="167" fontId="18" fillId="6" borderId="49" xfId="1" applyNumberFormat="1" applyFont="1" applyFill="1" applyBorder="1"/>
    <xf numFmtId="168" fontId="18" fillId="6" borderId="50" xfId="2" applyNumberFormat="1" applyFont="1" applyFill="1" applyBorder="1"/>
    <xf numFmtId="168" fontId="18" fillId="6" borderId="51" xfId="2" applyNumberFormat="1" applyFont="1" applyFill="1" applyBorder="1"/>
    <xf numFmtId="168" fontId="18" fillId="6" borderId="52" xfId="2" applyNumberFormat="1" applyFont="1" applyFill="1" applyBorder="1"/>
    <xf numFmtId="168" fontId="19" fillId="6" borderId="53" xfId="0" applyNumberFormat="1" applyFont="1" applyFill="1" applyBorder="1"/>
    <xf numFmtId="168" fontId="19" fillId="6" borderId="54" xfId="0" applyNumberFormat="1" applyFont="1" applyFill="1" applyBorder="1"/>
    <xf numFmtId="168" fontId="19" fillId="6" borderId="55" xfId="0" applyNumberFormat="1" applyFont="1" applyFill="1" applyBorder="1"/>
    <xf numFmtId="165" fontId="19" fillId="6" borderId="56" xfId="2" applyFont="1" applyFill="1" applyBorder="1"/>
    <xf numFmtId="165" fontId="19" fillId="6" borderId="31" xfId="2" applyFont="1" applyFill="1" applyBorder="1"/>
    <xf numFmtId="165" fontId="19" fillId="6" borderId="57" xfId="2" applyFont="1" applyFill="1" applyBorder="1"/>
    <xf numFmtId="165" fontId="19" fillId="6" borderId="47" xfId="2" applyFont="1" applyFill="1" applyBorder="1"/>
    <xf numFmtId="165" fontId="19" fillId="6" borderId="48" xfId="2" applyFont="1" applyFill="1" applyBorder="1"/>
    <xf numFmtId="165" fontId="19" fillId="6" borderId="49" xfId="2" applyFont="1" applyFill="1" applyBorder="1"/>
    <xf numFmtId="166" fontId="18" fillId="6" borderId="47" xfId="1" applyFont="1" applyFill="1" applyBorder="1"/>
    <xf numFmtId="166" fontId="18" fillId="6" borderId="48" xfId="1" applyFont="1" applyFill="1" applyBorder="1"/>
    <xf numFmtId="166" fontId="18" fillId="6" borderId="49" xfId="1" applyFont="1" applyFill="1" applyBorder="1"/>
    <xf numFmtId="0" fontId="17" fillId="5" borderId="28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7" fontId="3" fillId="2" borderId="1" xfId="1" applyNumberFormat="1" applyFont="1" applyFill="1" applyBorder="1" applyAlignment="1">
      <alignment horizontal="center"/>
    </xf>
    <xf numFmtId="167" fontId="3" fillId="2" borderId="28" xfId="1" applyNumberFormat="1" applyFont="1" applyFill="1" applyBorder="1"/>
    <xf numFmtId="167" fontId="3" fillId="2" borderId="32" xfId="1" applyNumberFormat="1" applyFont="1" applyFill="1" applyBorder="1"/>
    <xf numFmtId="167" fontId="3" fillId="2" borderId="1" xfId="1" applyNumberFormat="1" applyFont="1" applyFill="1" applyBorder="1"/>
    <xf numFmtId="167" fontId="16" fillId="5" borderId="58" xfId="0" applyNumberFormat="1" applyFont="1" applyFill="1" applyBorder="1" applyAlignment="1">
      <alignment horizontal="center"/>
    </xf>
    <xf numFmtId="168" fontId="18" fillId="6" borderId="59" xfId="2" applyNumberFormat="1" applyFont="1" applyFill="1" applyBorder="1"/>
    <xf numFmtId="167" fontId="16" fillId="5" borderId="60" xfId="0" applyNumberFormat="1" applyFont="1" applyFill="1" applyBorder="1" applyAlignment="1">
      <alignment horizontal="center"/>
    </xf>
    <xf numFmtId="167" fontId="18" fillId="6" borderId="59" xfId="1" applyNumberFormat="1" applyFont="1" applyFill="1" applyBorder="1"/>
    <xf numFmtId="167" fontId="3" fillId="2" borderId="0" xfId="1" applyNumberFormat="1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7" borderId="0" xfId="0" applyFont="1" applyFill="1"/>
    <xf numFmtId="166" fontId="11" fillId="7" borderId="0" xfId="1" applyFont="1" applyFill="1" applyBorder="1"/>
    <xf numFmtId="0" fontId="11" fillId="7" borderId="61" xfId="0" applyFont="1" applyFill="1" applyBorder="1"/>
    <xf numFmtId="0" fontId="11" fillId="7" borderId="64" xfId="0" applyFont="1" applyFill="1" applyBorder="1"/>
    <xf numFmtId="166" fontId="11" fillId="7" borderId="65" xfId="1" applyFont="1" applyFill="1" applyBorder="1"/>
    <xf numFmtId="0" fontId="11" fillId="7" borderId="66" xfId="0" applyFont="1" applyFill="1" applyBorder="1"/>
    <xf numFmtId="165" fontId="11" fillId="7" borderId="67" xfId="2" applyFont="1" applyFill="1" applyBorder="1"/>
    <xf numFmtId="165" fontId="11" fillId="7" borderId="68" xfId="2" applyFont="1" applyFill="1" applyBorder="1"/>
    <xf numFmtId="165" fontId="11" fillId="7" borderId="61" xfId="2" applyNumberFormat="1" applyFont="1" applyFill="1" applyBorder="1"/>
    <xf numFmtId="165" fontId="11" fillId="7" borderId="62" xfId="2" applyNumberFormat="1" applyFont="1" applyFill="1" applyBorder="1"/>
    <xf numFmtId="165" fontId="11" fillId="7" borderId="63" xfId="2" applyNumberFormat="1" applyFont="1" applyFill="1" applyBorder="1"/>
    <xf numFmtId="166" fontId="11" fillId="7" borderId="64" xfId="1" applyFont="1" applyFill="1" applyBorder="1"/>
    <xf numFmtId="165" fontId="11" fillId="7" borderId="66" xfId="2" applyFont="1" applyFill="1" applyBorder="1"/>
    <xf numFmtId="0" fontId="11" fillId="7" borderId="69" xfId="0" applyFont="1" applyFill="1" applyBorder="1" applyAlignment="1">
      <alignment horizontal="center"/>
    </xf>
    <xf numFmtId="0" fontId="11" fillId="7" borderId="70" xfId="0" applyFont="1" applyFill="1" applyBorder="1" applyAlignment="1">
      <alignment horizontal="center"/>
    </xf>
    <xf numFmtId="0" fontId="11" fillId="7" borderId="71" xfId="0" applyFont="1" applyFill="1" applyBorder="1" applyAlignment="1">
      <alignment horizontal="center"/>
    </xf>
    <xf numFmtId="0" fontId="1" fillId="7" borderId="0" xfId="0" applyFont="1" applyFill="1"/>
    <xf numFmtId="0" fontId="1" fillId="7" borderId="64" xfId="0" applyFont="1" applyFill="1" applyBorder="1"/>
    <xf numFmtId="166" fontId="1" fillId="7" borderId="64" xfId="0" applyNumberFormat="1" applyFont="1" applyFill="1" applyBorder="1"/>
    <xf numFmtId="166" fontId="1" fillId="7" borderId="0" xfId="0" applyNumberFormat="1" applyFont="1" applyFill="1" applyBorder="1"/>
    <xf numFmtId="166" fontId="1" fillId="7" borderId="65" xfId="0" applyNumberFormat="1" applyFont="1" applyFill="1" applyBorder="1"/>
    <xf numFmtId="167" fontId="3" fillId="2" borderId="28" xfId="1" applyNumberFormat="1" applyFont="1" applyFill="1" applyBorder="1" applyAlignment="1">
      <alignment horizontal="center"/>
    </xf>
    <xf numFmtId="168" fontId="3" fillId="2" borderId="1" xfId="2" applyNumberFormat="1" applyFont="1" applyFill="1" applyBorder="1"/>
    <xf numFmtId="0" fontId="3" fillId="2" borderId="28" xfId="0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9" fontId="6" fillId="2" borderId="0" xfId="0" applyNumberFormat="1" applyFont="1" applyFill="1"/>
    <xf numFmtId="9" fontId="20" fillId="2" borderId="0" xfId="0" applyNumberFormat="1" applyFont="1" applyFill="1"/>
    <xf numFmtId="0" fontId="3" fillId="7" borderId="0" xfId="0" applyFont="1" applyFill="1"/>
    <xf numFmtId="0" fontId="16" fillId="7" borderId="0" xfId="0" applyFont="1" applyFill="1" applyBorder="1" applyAlignment="1">
      <alignment horizontal="center"/>
    </xf>
    <xf numFmtId="0" fontId="17" fillId="5" borderId="21" xfId="0" applyFont="1" applyFill="1" applyBorder="1"/>
    <xf numFmtId="167" fontId="18" fillId="6" borderId="44" xfId="1" applyNumberFormat="1" applyFont="1" applyFill="1" applyBorder="1" applyAlignment="1">
      <alignment horizontal="center"/>
    </xf>
    <xf numFmtId="167" fontId="18" fillId="6" borderId="26" xfId="1" applyNumberFormat="1" applyFont="1" applyFill="1" applyBorder="1" applyAlignment="1">
      <alignment horizontal="center"/>
    </xf>
    <xf numFmtId="167" fontId="18" fillId="6" borderId="20" xfId="1" applyNumberFormat="1" applyFont="1" applyFill="1" applyBorder="1" applyAlignment="1">
      <alignment horizontal="center"/>
    </xf>
    <xf numFmtId="168" fontId="18" fillId="6" borderId="46" xfId="2" applyNumberFormat="1" applyFont="1" applyFill="1" applyBorder="1" applyAlignment="1">
      <alignment horizontal="center"/>
    </xf>
    <xf numFmtId="168" fontId="18" fillId="6" borderId="27" xfId="2" applyNumberFormat="1" applyFont="1" applyFill="1" applyBorder="1" applyAlignment="1">
      <alignment horizontal="center"/>
    </xf>
    <xf numFmtId="168" fontId="18" fillId="6" borderId="22" xfId="2" applyNumberFormat="1" applyFont="1" applyFill="1" applyBorder="1" applyAlignment="1">
      <alignment horizontal="center"/>
    </xf>
    <xf numFmtId="165" fontId="19" fillId="6" borderId="39" xfId="2" applyNumberFormat="1" applyFont="1" applyFill="1" applyBorder="1"/>
    <xf numFmtId="166" fontId="3" fillId="2" borderId="0" xfId="0" applyNumberFormat="1" applyFont="1" applyFill="1"/>
    <xf numFmtId="166" fontId="3" fillId="2" borderId="0" xfId="1" applyFont="1" applyFill="1"/>
    <xf numFmtId="168" fontId="19" fillId="6" borderId="51" xfId="2" applyNumberFormat="1" applyFont="1" applyFill="1" applyBorder="1"/>
    <xf numFmtId="168" fontId="19" fillId="6" borderId="52" xfId="2" applyNumberFormat="1" applyFont="1" applyFill="1" applyBorder="1"/>
    <xf numFmtId="166" fontId="18" fillId="6" borderId="72" xfId="1" applyFont="1" applyFill="1" applyBorder="1"/>
    <xf numFmtId="166" fontId="18" fillId="6" borderId="73" xfId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6" fillId="5" borderId="24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A66000"/>
      <color rgb="FFFFC473"/>
      <color rgb="FF95002B"/>
      <color rgb="FFFF7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>
                <a:solidFill>
                  <a:srgbClr val="95002B"/>
                </a:solidFill>
              </a:rPr>
              <a:t>Operating Profit</a:t>
            </a:r>
            <a:r>
              <a:rPr lang="en-US" baseline="0">
                <a:solidFill>
                  <a:srgbClr val="95002B"/>
                </a:solidFill>
              </a:rPr>
              <a:t> by Item</a:t>
            </a:r>
            <a:endParaRPr lang="en-US">
              <a:solidFill>
                <a:srgbClr val="95002B"/>
              </a:solidFill>
            </a:endParaRPr>
          </a:p>
        </c:rich>
      </c:tx>
      <c:layout/>
      <c:overlay val="1"/>
      <c:spPr>
        <a:solidFill>
          <a:srgbClr val="FF7940"/>
        </a:solidFill>
      </c:spPr>
    </c:title>
    <c:autoTitleDeleted val="0"/>
    <c:plotArea>
      <c:layout>
        <c:manualLayout>
          <c:layoutTarget val="inner"/>
          <c:xMode val="edge"/>
          <c:yMode val="edge"/>
          <c:x val="7.6047199957008357E-2"/>
          <c:y val="3.8210867587821468E-2"/>
          <c:w val="0.7884185864815817"/>
          <c:h val="0.88543954604889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ChartData!$A$2</c:f>
              <c:strCache>
                <c:ptCount val="1"/>
                <c:pt idx="0">
                  <c:v>Sales Price</c:v>
                </c:pt>
              </c:strCache>
            </c:strRef>
          </c:tx>
          <c:spPr>
            <a:solidFill>
              <a:srgbClr val="FFC473">
                <a:alpha val="75000"/>
              </a:srgbClr>
            </a:solidFill>
            <a:ln>
              <a:solidFill>
                <a:prstClr val="black">
                  <a:alpha val="75000"/>
                </a:prstClr>
              </a:solidFill>
            </a:ln>
          </c:spPr>
          <c:invertIfNegative val="0"/>
          <c:cat>
            <c:strRef>
              <c:f>ChartData!$B$1:$F$1</c:f>
              <c:strCache>
                <c:ptCount val="5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  <c:pt idx="3">
                  <c:v>Item4</c:v>
                </c:pt>
                <c:pt idx="4">
                  <c:v>Item5</c:v>
                </c:pt>
              </c:strCache>
            </c:strRef>
          </c:cat>
          <c:val>
            <c:numRef>
              <c:f>ChartData!$B$2:$F$2</c:f>
              <c:numCache>
                <c:formatCode>_("$"* #,##0.00_);_("$"* \(#,##0.00\);_("$"* "-"??_);_(@_)</c:formatCode>
                <c:ptCount val="5"/>
                <c:pt idx="0">
                  <c:v>155.4</c:v>
                </c:pt>
                <c:pt idx="1">
                  <c:v>267.32498249435929</c:v>
                </c:pt>
                <c:pt idx="2">
                  <c:v>157.2500102834108</c:v>
                </c:pt>
                <c:pt idx="3">
                  <c:v>260.85002016942315</c:v>
                </c:pt>
                <c:pt idx="4">
                  <c:v>101.75000805905677</c:v>
                </c:pt>
              </c:numCache>
            </c:numRef>
          </c:val>
        </c:ser>
        <c:ser>
          <c:idx val="1"/>
          <c:order val="1"/>
          <c:tx>
            <c:strRef>
              <c:f>ChartData!$A$5</c:f>
              <c:strCache>
                <c:ptCount val="1"/>
                <c:pt idx="0">
                  <c:v>Full cost</c:v>
                </c:pt>
              </c:strCache>
            </c:strRef>
          </c:tx>
          <c:spPr>
            <a:solidFill>
              <a:srgbClr val="A66000">
                <a:alpha val="75000"/>
              </a:srgbClr>
            </a:solidFill>
            <a:ln>
              <a:solidFill>
                <a:prstClr val="black">
                  <a:alpha val="75000"/>
                </a:prstClr>
              </a:solidFill>
            </a:ln>
          </c:spPr>
          <c:invertIfNegative val="0"/>
          <c:cat>
            <c:strRef>
              <c:f>ChartData!$B$1:$F$1</c:f>
              <c:strCache>
                <c:ptCount val="5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  <c:pt idx="3">
                  <c:v>Item4</c:v>
                </c:pt>
                <c:pt idx="4">
                  <c:v>Item5</c:v>
                </c:pt>
              </c:strCache>
            </c:strRef>
          </c:cat>
          <c:val>
            <c:numRef>
              <c:f>ChartData!$B$5:$F$5</c:f>
              <c:numCache>
                <c:formatCode>_(* #,##0.00_);_(* \(#,##0.00\);_(* "-"??_);_(@_)</c:formatCode>
                <c:ptCount val="5"/>
                <c:pt idx="0">
                  <c:v>131.49</c:v>
                </c:pt>
                <c:pt idx="1">
                  <c:v>269.06</c:v>
                </c:pt>
                <c:pt idx="2">
                  <c:v>126.49</c:v>
                </c:pt>
                <c:pt idx="3">
                  <c:v>226.38</c:v>
                </c:pt>
                <c:pt idx="4">
                  <c:v>91.350000000000009</c:v>
                </c:pt>
              </c:numCache>
            </c:numRef>
          </c:val>
        </c:ser>
        <c:ser>
          <c:idx val="2"/>
          <c:order val="2"/>
          <c:tx>
            <c:strRef>
              <c:f>ChartData!$A$6</c:f>
              <c:strCache>
                <c:ptCount val="1"/>
                <c:pt idx="0">
                  <c:v>Operating profit</c:v>
                </c:pt>
              </c:strCache>
            </c:strRef>
          </c:tx>
          <c:spPr>
            <a:solidFill>
              <a:prstClr val="black">
                <a:alpha val="75000"/>
              </a:prstClr>
            </a:solidFill>
            <a:ln>
              <a:solidFill>
                <a:prstClr val="black">
                  <a:alpha val="75000"/>
                </a:prstClr>
              </a:solidFill>
            </a:ln>
          </c:spPr>
          <c:invertIfNegative val="0"/>
          <c:cat>
            <c:strRef>
              <c:f>ChartData!$B$1:$F$1</c:f>
              <c:strCache>
                <c:ptCount val="5"/>
                <c:pt idx="0">
                  <c:v>Item1</c:v>
                </c:pt>
                <c:pt idx="1">
                  <c:v>Item2</c:v>
                </c:pt>
                <c:pt idx="2">
                  <c:v>Item3</c:v>
                </c:pt>
                <c:pt idx="3">
                  <c:v>Item4</c:v>
                </c:pt>
                <c:pt idx="4">
                  <c:v>Item5</c:v>
                </c:pt>
              </c:strCache>
            </c:strRef>
          </c:cat>
          <c:val>
            <c:numRef>
              <c:f>ChartData!$B$6:$F$6</c:f>
              <c:numCache>
                <c:formatCode>_("$"* #,##0.00_);_("$"* \(#,##0.00\);_("$"* "-"??_);_(@_)</c:formatCode>
                <c:ptCount val="5"/>
                <c:pt idx="0">
                  <c:v>23.910000000000004</c:v>
                </c:pt>
                <c:pt idx="1">
                  <c:v>-1.7350175056407302</c:v>
                </c:pt>
                <c:pt idx="2">
                  <c:v>30.760010283410807</c:v>
                </c:pt>
                <c:pt idx="3">
                  <c:v>34.470020169423151</c:v>
                </c:pt>
                <c:pt idx="4">
                  <c:v>10.400008059056763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33"/>
        <c:axId val="42970112"/>
        <c:axId val="45548288"/>
      </c:barChart>
      <c:catAx>
        <c:axId val="42970112"/>
        <c:scaling>
          <c:orientation val="minMax"/>
        </c:scaling>
        <c:delete val="0"/>
        <c:axPos val="b"/>
        <c:numFmt formatCode="[$-409]mmmm\-yy;@" sourceLinked="0"/>
        <c:majorTickMark val="none"/>
        <c:minorTickMark val="none"/>
        <c:tickLblPos val="low"/>
        <c:spPr>
          <a:ln w="38100">
            <a:solidFill>
              <a:srgbClr val="36D695"/>
            </a:solidFill>
          </a:ln>
        </c:spPr>
        <c:txPr>
          <a:bodyPr rot="0" vert="horz"/>
          <a:lstStyle/>
          <a:p>
            <a:pPr>
              <a:defRPr sz="1100" b="1">
                <a:solidFill>
                  <a:srgbClr val="FFC473"/>
                </a:solidFill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45548288"/>
        <c:crossesAt val="0"/>
        <c:auto val="1"/>
        <c:lblAlgn val="ctr"/>
        <c:lblOffset val="100"/>
        <c:noMultiLvlLbl val="0"/>
      </c:catAx>
      <c:valAx>
        <c:axId val="45548288"/>
        <c:scaling>
          <c:orientation val="minMax"/>
        </c:scaling>
        <c:delete val="0"/>
        <c:axPos val="l"/>
        <c:majorGridlines>
          <c:spPr>
            <a:ln w="22225">
              <a:solidFill>
                <a:srgbClr val="36D695"/>
              </a:solidFill>
              <a:prstDash val="dash"/>
            </a:ln>
          </c:spPr>
        </c:majorGridlines>
        <c:numFmt formatCode="\$#,##0" sourceLinked="0"/>
        <c:majorTickMark val="none"/>
        <c:minorTickMark val="none"/>
        <c:tickLblPos val="nextTo"/>
        <c:spPr>
          <a:noFill/>
          <a:ln w="25400"/>
        </c:spPr>
        <c:txPr>
          <a:bodyPr/>
          <a:lstStyle/>
          <a:p>
            <a:pPr>
              <a:defRPr sz="1100" b="1">
                <a:solidFill>
                  <a:srgbClr val="FFC473"/>
                </a:solidFill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42970112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egendEntry>
        <c:idx val="2"/>
        <c:txPr>
          <a:bodyPr/>
          <a:lstStyle/>
          <a:p>
            <a:pPr>
              <a:defRPr sz="1200">
                <a:solidFill>
                  <a:schemeClr val="tx1"/>
                </a:solidFill>
                <a:latin typeface="Arial" pitchFamily="34" charset="0"/>
                <a:cs typeface="Arial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86381522651266862"/>
          <c:y val="0.39375131984556883"/>
          <c:w val="0.12305989491829505"/>
          <c:h val="0.20674621045775632"/>
        </c:manualLayout>
      </c:layout>
      <c:overlay val="0"/>
      <c:txPr>
        <a:bodyPr/>
        <a:lstStyle/>
        <a:p>
          <a:pPr>
            <a:defRPr sz="1200">
              <a:solidFill>
                <a:srgbClr val="FFC473"/>
              </a:solidFill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A66000"/>
    </a:solidFill>
    <a:ln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imperoco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eroco.com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eroc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515469</xdr:colOff>
      <xdr:row>0</xdr:row>
      <xdr:rowOff>78441</xdr:rowOff>
    </xdr:from>
    <xdr:to>
      <xdr:col>19</xdr:col>
      <xdr:colOff>414615</xdr:colOff>
      <xdr:row>4</xdr:row>
      <xdr:rowOff>145676</xdr:rowOff>
    </xdr:to>
    <xdr:sp macro="" textlink="">
      <xdr:nvSpPr>
        <xdr:cNvPr id="2" name="TextBox 1" descr="Text Box: © Kristoffer Burnett, 2010&#10;Small biz solutions at www.imperoco.com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9704293" y="78441"/>
          <a:ext cx="4134969" cy="694764"/>
        </a:xfrm>
        <a:prstGeom prst="rect">
          <a:avLst/>
        </a:prstGeom>
        <a:solidFill>
          <a:srgbClr val="36D69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© Kristoffer Burnett - Certified Management Accountant, 2009-2011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Small business solutions at </a:t>
          </a:r>
          <a:r>
            <a:rPr lang="en-US" sz="1000" b="1" i="0" u="sng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http://www.imperoco.com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13</xdr:col>
      <xdr:colOff>61633</xdr:colOff>
      <xdr:row>74</xdr:row>
      <xdr:rowOff>109257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392207</xdr:colOff>
      <xdr:row>0</xdr:row>
      <xdr:rowOff>78440</xdr:rowOff>
    </xdr:from>
    <xdr:to>
      <xdr:col>18</xdr:col>
      <xdr:colOff>349057</xdr:colOff>
      <xdr:row>4</xdr:row>
      <xdr:rowOff>145675</xdr:rowOff>
    </xdr:to>
    <xdr:sp macro="" textlink="">
      <xdr:nvSpPr>
        <xdr:cNvPr id="3" name="TextBox 2" descr="Text Box: © Kristoffer Burnett, 2010&#10;Small biz solutions at www.imperoco.com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9805148" y="78440"/>
          <a:ext cx="4035791" cy="694764"/>
        </a:xfrm>
        <a:prstGeom prst="rect">
          <a:avLst/>
        </a:prstGeom>
        <a:solidFill>
          <a:srgbClr val="36D69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© Kristoffer Burnett - Certified Management Accountant, 2009-2011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Small business solutions at </a:t>
          </a:r>
          <a:r>
            <a:rPr lang="en-US" sz="1000" b="1" i="0" u="sng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http://www.imperoco.com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235324</xdr:colOff>
      <xdr:row>0</xdr:row>
      <xdr:rowOff>78441</xdr:rowOff>
    </xdr:from>
    <xdr:to>
      <xdr:col>14</xdr:col>
      <xdr:colOff>786087</xdr:colOff>
      <xdr:row>4</xdr:row>
      <xdr:rowOff>78440</xdr:rowOff>
    </xdr:to>
    <xdr:sp macro="" textlink="">
      <xdr:nvSpPr>
        <xdr:cNvPr id="2" name="TextBox 1" descr="Text Box: © Kristoffer Burnett, 2010&#10;Small biz solutions at www.imperoco.com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9614648" y="78441"/>
          <a:ext cx="4226292" cy="694764"/>
        </a:xfrm>
        <a:prstGeom prst="rect">
          <a:avLst/>
        </a:prstGeom>
        <a:solidFill>
          <a:srgbClr val="36D695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© Kristoffer Burnett - Certified Management Accountant, 2009-2011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Small business solutions at </a:t>
          </a:r>
          <a:r>
            <a:rPr lang="en-US" sz="1000" b="1" i="0" u="sng" strike="noStrike" baseline="0">
              <a:solidFill>
                <a:srgbClr val="007143"/>
              </a:solidFill>
              <a:latin typeface="Arial" pitchFamily="34" charset="0"/>
              <a:cs typeface="Arial" pitchFamily="34" charset="0"/>
            </a:rPr>
            <a:t>http://www.imperoco.com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8"/>
  <sheetViews>
    <sheetView zoomScale="85" zoomScaleNormal="85" workbookViewId="0">
      <selection activeCell="D10" sqref="D10"/>
    </sheetView>
  </sheetViews>
  <sheetFormatPr defaultRowHeight="12.75" x14ac:dyDescent="0.2"/>
  <cols>
    <col min="1" max="1" width="2.7109375" style="128" customWidth="1"/>
    <col min="2" max="2" width="29" style="128" bestFit="1" customWidth="1"/>
    <col min="3" max="3" width="11.5703125" style="128" bestFit="1" customWidth="1"/>
    <col min="4" max="7" width="12.28515625" style="128" bestFit="1" customWidth="1"/>
    <col min="8" max="16384" width="9.140625" style="128"/>
  </cols>
  <sheetData>
    <row r="1" spans="2:17" s="1" customFormat="1" x14ac:dyDescent="0.2">
      <c r="Q1" s="126"/>
    </row>
    <row r="2" spans="2:17" s="1" customFormat="1" x14ac:dyDescent="0.2">
      <c r="B2" s="171" t="s">
        <v>59</v>
      </c>
      <c r="C2" s="172"/>
      <c r="D2" s="173"/>
      <c r="E2" s="15"/>
      <c r="Q2" s="126"/>
    </row>
    <row r="3" spans="2:17" s="1" customFormat="1" x14ac:dyDescent="0.2">
      <c r="D3" s="15"/>
      <c r="E3" s="15"/>
      <c r="Q3" s="126"/>
    </row>
    <row r="4" spans="2:17" s="1" customFormat="1" ht="12.75" customHeight="1" x14ac:dyDescent="0.2">
      <c r="B4" s="174" t="s">
        <v>0</v>
      </c>
      <c r="C4" s="174"/>
      <c r="D4" s="174"/>
      <c r="E4" s="15"/>
      <c r="Q4" s="126"/>
    </row>
    <row r="5" spans="2:17" s="1" customFormat="1" ht="12.75" customHeight="1" x14ac:dyDescent="0.2">
      <c r="B5" s="174"/>
      <c r="C5" s="174"/>
      <c r="D5" s="174"/>
      <c r="E5" s="15"/>
      <c r="Q5" s="126"/>
    </row>
    <row r="7" spans="2:17" s="1" customFormat="1" x14ac:dyDescent="0.2">
      <c r="B7" s="38" t="s">
        <v>35</v>
      </c>
      <c r="C7" s="127">
        <v>1</v>
      </c>
    </row>
    <row r="8" spans="2:17" s="1" customFormat="1" x14ac:dyDescent="0.2">
      <c r="C8" s="72" t="str">
        <f>'Item Information'!C$9</f>
        <v>Item1</v>
      </c>
      <c r="D8" s="73" t="str">
        <f>'Item Information'!D$9</f>
        <v>Item2</v>
      </c>
      <c r="E8" s="73" t="str">
        <f>'Item Information'!E$9</f>
        <v>Item3</v>
      </c>
      <c r="F8" s="73" t="str">
        <f>'Item Information'!F$9</f>
        <v>Item4</v>
      </c>
      <c r="G8" s="74" t="str">
        <f>'Item Information'!G$9</f>
        <v>Item5</v>
      </c>
    </row>
    <row r="9" spans="2:17" s="155" customFormat="1" x14ac:dyDescent="0.2">
      <c r="B9" s="45" t="s">
        <v>80</v>
      </c>
    </row>
    <row r="10" spans="2:17" s="155" customFormat="1" x14ac:dyDescent="0.2">
      <c r="B10" s="51" t="s">
        <v>47</v>
      </c>
      <c r="C10" s="158">
        <f>'Item Information'!C$10</f>
        <v>14790</v>
      </c>
      <c r="D10" s="159">
        <f>'Item Information'!D$10</f>
        <v>12853</v>
      </c>
      <c r="E10" s="159">
        <f>'Item Information'!E$10</f>
        <v>24311</v>
      </c>
      <c r="F10" s="159">
        <f>'Item Information'!F$10</f>
        <v>12395</v>
      </c>
      <c r="G10" s="160">
        <f>'Item Information'!G$10</f>
        <v>31021</v>
      </c>
    </row>
    <row r="11" spans="2:17" s="155" customFormat="1" x14ac:dyDescent="0.2">
      <c r="B11" s="157" t="s">
        <v>44</v>
      </c>
      <c r="C11" s="161">
        <f>'Item Information'!C$11</f>
        <v>2298366</v>
      </c>
      <c r="D11" s="162">
        <f>'Item Information'!D$11</f>
        <v>3435928</v>
      </c>
      <c r="E11" s="162">
        <f>'Item Information'!E$11</f>
        <v>3822905</v>
      </c>
      <c r="F11" s="162">
        <f>'Item Information'!F$11</f>
        <v>3233236</v>
      </c>
      <c r="G11" s="163">
        <f>'Item Information'!G$11</f>
        <v>3156387</v>
      </c>
    </row>
    <row r="12" spans="2:17" s="155" customFormat="1" x14ac:dyDescent="0.2">
      <c r="C12" s="156"/>
      <c r="D12" s="156"/>
      <c r="E12" s="156"/>
      <c r="F12" s="156"/>
      <c r="G12" s="156"/>
    </row>
    <row r="13" spans="2:17" s="1" customFormat="1" x14ac:dyDescent="0.2">
      <c r="B13" s="45" t="s">
        <v>41</v>
      </c>
    </row>
    <row r="14" spans="2:17" s="1" customFormat="1" x14ac:dyDescent="0.2">
      <c r="B14" s="51" t="str">
        <f>'Activity Information'!$B10</f>
        <v>Direct materials</v>
      </c>
      <c r="C14" s="83">
        <f>-'Item Information'!C16</f>
        <v>-378953</v>
      </c>
      <c r="D14" s="84">
        <f>-'Item Information'!D16</f>
        <v>-1696401</v>
      </c>
      <c r="E14" s="84">
        <f>-'Item Information'!E16</f>
        <v>-1129207</v>
      </c>
      <c r="F14" s="84">
        <f>-'Item Information'!F16</f>
        <v>-1040302</v>
      </c>
      <c r="G14" s="85">
        <f>-'Item Information'!G16</f>
        <v>-938312</v>
      </c>
    </row>
    <row r="15" spans="2:17" s="1" customFormat="1" x14ac:dyDescent="0.2">
      <c r="B15" s="51" t="str">
        <f>'Activity Information'!$B11</f>
        <v>Direct labor</v>
      </c>
      <c r="C15" s="86">
        <f>-'Item Information'!C17</f>
        <v>-598320</v>
      </c>
      <c r="D15" s="87">
        <f>-'Item Information'!D17</f>
        <v>-294637</v>
      </c>
      <c r="E15" s="87">
        <f>-'Item Information'!E17</f>
        <v>-888315</v>
      </c>
      <c r="F15" s="87">
        <f>-'Item Information'!F17</f>
        <v>-600617</v>
      </c>
      <c r="G15" s="88">
        <f>-'Item Information'!G17</f>
        <v>-868180</v>
      </c>
    </row>
    <row r="16" spans="2:17" s="1" customFormat="1" x14ac:dyDescent="0.2">
      <c r="B16" s="75" t="s">
        <v>56</v>
      </c>
      <c r="C16" s="100">
        <f>SUM(C$14:C$15)</f>
        <v>-977273</v>
      </c>
      <c r="D16" s="101">
        <f>SUM(D$14:D$15)</f>
        <v>-1991038</v>
      </c>
      <c r="E16" s="101">
        <f>SUM(E$14:E$15)</f>
        <v>-2017522</v>
      </c>
      <c r="F16" s="101">
        <f>SUM(F$14:F$15)</f>
        <v>-1640919</v>
      </c>
      <c r="G16" s="102">
        <f>SUM(G$14:G$15)</f>
        <v>-1806492</v>
      </c>
    </row>
    <row r="17" spans="2:8" s="1" customFormat="1" x14ac:dyDescent="0.2">
      <c r="C17" s="125"/>
      <c r="D17" s="125"/>
      <c r="E17" s="125"/>
      <c r="F17" s="125"/>
      <c r="G17" s="125"/>
    </row>
    <row r="18" spans="2:8" s="1" customFormat="1" x14ac:dyDescent="0.2">
      <c r="B18" s="45" t="s">
        <v>42</v>
      </c>
    </row>
    <row r="19" spans="2:8" s="1" customFormat="1" x14ac:dyDescent="0.2">
      <c r="B19" s="51" t="str">
        <f>'Activity Information'!$B37</f>
        <v>Research &amp; development</v>
      </c>
      <c r="C19" s="83">
        <f>ROUND(-'Activity Information'!$E$74*'Item Information'!C$22,2)</f>
        <v>0</v>
      </c>
      <c r="D19" s="84">
        <f>ROUND(-'Activity Information'!$E$74*'Item Information'!D$22,2)</f>
        <v>-308648.8</v>
      </c>
      <c r="E19" s="84">
        <f>ROUND(-'Activity Information'!$E$74*'Item Information'!E$22,2)</f>
        <v>0</v>
      </c>
      <c r="F19" s="84">
        <f>ROUND(-'Activity Information'!$E$74*'Item Information'!F$22,2)</f>
        <v>0</v>
      </c>
      <c r="G19" s="85">
        <f>ROUND(-'Activity Information'!$E$74*'Item Information'!G$22,2)</f>
        <v>-308648.8</v>
      </c>
    </row>
    <row r="20" spans="2:8" s="1" customFormat="1" x14ac:dyDescent="0.2">
      <c r="B20" s="51" t="str">
        <f>'Activity Information'!$B38</f>
        <v>Procure materials</v>
      </c>
      <c r="C20" s="86">
        <f>ROUND(-'Activity Information'!$G$74*'Item Information'!C$23,2)</f>
        <v>-361244.15999999997</v>
      </c>
      <c r="D20" s="87">
        <f>ROUND(-'Activity Information'!$G$74*'Item Information'!D$23,2)</f>
        <v>-437444.1</v>
      </c>
      <c r="E20" s="87">
        <f>ROUND(-'Activity Information'!$G$74*'Item Information'!E$23,2)</f>
        <v>-397933.02</v>
      </c>
      <c r="F20" s="87">
        <f>ROUND(-'Activity Information'!$G$74*'Item Information'!F$23,2)</f>
        <v>-437444.1</v>
      </c>
      <c r="G20" s="88">
        <f>ROUND(-'Activity Information'!$G$74*'Item Information'!G$23,2)</f>
        <v>-262466.46000000002</v>
      </c>
    </row>
    <row r="21" spans="2:8" s="1" customFormat="1" x14ac:dyDescent="0.2">
      <c r="B21" s="51" t="str">
        <f>'Activity Information'!$B39</f>
        <v>Manufacturing</v>
      </c>
      <c r="C21" s="86">
        <f>ROUND(-'Activity Information'!$I$74*'Item Information'!C$24,2)</f>
        <v>-333640.32000000001</v>
      </c>
      <c r="D21" s="87">
        <f>ROUND(-'Activity Information'!$I$74*'Item Information'!D$24,2)</f>
        <v>-406624.14</v>
      </c>
      <c r="E21" s="87">
        <f>ROUND(-'Activity Information'!$I$74*'Item Information'!E$24,2)</f>
        <v>-375345.36</v>
      </c>
      <c r="F21" s="87">
        <f>ROUND(-'Activity Information'!$I$74*'Item Information'!F$24,2)</f>
        <v>-417050.4</v>
      </c>
      <c r="G21" s="88">
        <f>ROUND(-'Activity Information'!$I$74*'Item Information'!G$24,2)</f>
        <v>-239803.98</v>
      </c>
    </row>
    <row r="22" spans="2:8" s="1" customFormat="1" x14ac:dyDescent="0.2">
      <c r="B22" s="51" t="str">
        <f>'Activity Information'!$B40</f>
        <v>Shipping</v>
      </c>
      <c r="C22" s="86">
        <f>ROUND(-'Activity Information'!$K$74*'Item Information'!C$25,2)</f>
        <v>-114314.23</v>
      </c>
      <c r="D22" s="87">
        <f>ROUND(-'Activity Information'!$K$74*'Item Information'!D$25,2)</f>
        <v>-141907.32</v>
      </c>
      <c r="E22" s="87">
        <f>ROUND(-'Activity Information'!$K$74*'Item Information'!E$25,2)</f>
        <v>-126139.84</v>
      </c>
      <c r="F22" s="87">
        <f>ROUND(-'Activity Information'!$K$74*'Item Information'!F$25,2)</f>
        <v>-137965.45000000001</v>
      </c>
      <c r="G22" s="88">
        <f>ROUND(-'Activity Information'!$K$74*'Item Information'!G$25,2)</f>
        <v>-86721.14</v>
      </c>
    </row>
    <row r="23" spans="2:8" s="1" customFormat="1" x14ac:dyDescent="0.2">
      <c r="B23" s="51" t="str">
        <f>'Activity Information'!$B41</f>
        <v>Marketing/customer service</v>
      </c>
      <c r="C23" s="86">
        <f>ROUND(-'Activity Information'!$M$74*'Item Information'!C$26,2)</f>
        <v>-100167.27</v>
      </c>
      <c r="D23" s="87">
        <f>ROUND(-'Activity Information'!$M$74*'Item Information'!D$26,2)</f>
        <v>-114476.88</v>
      </c>
      <c r="E23" s="87">
        <f>ROUND(-'Activity Information'!$M$74*'Item Information'!E$26,2)</f>
        <v>-100167.27</v>
      </c>
      <c r="F23" s="87">
        <f>ROUND(-'Activity Information'!$M$74*'Item Information'!F$26,2)</f>
        <v>-114476.88</v>
      </c>
      <c r="G23" s="88">
        <f>ROUND(-'Activity Information'!$M$74*'Item Information'!G$26,2)</f>
        <v>-71548.05</v>
      </c>
    </row>
    <row r="24" spans="2:8" s="1" customFormat="1" x14ac:dyDescent="0.2">
      <c r="B24" s="76" t="s">
        <v>45</v>
      </c>
      <c r="C24" s="97">
        <f>SUM(C$19:C$23)</f>
        <v>-909365.98</v>
      </c>
      <c r="D24" s="98">
        <f>SUM(D$19:D$23)</f>
        <v>-1409101.2400000002</v>
      </c>
      <c r="E24" s="98">
        <f>SUM(E$19:E$23)</f>
        <v>-999585.49</v>
      </c>
      <c r="F24" s="98">
        <f>SUM(F$19:F$23)</f>
        <v>-1106936.83</v>
      </c>
      <c r="G24" s="99">
        <f>SUM(G$19:G$23)</f>
        <v>-969188.43</v>
      </c>
    </row>
    <row r="25" spans="2:8" s="1" customFormat="1" x14ac:dyDescent="0.2">
      <c r="B25" s="77" t="s">
        <v>50</v>
      </c>
      <c r="C25" s="96">
        <f>C$11+C$16+C$24</f>
        <v>411727.02</v>
      </c>
      <c r="D25" s="167">
        <f>D$11+D$16+D$24</f>
        <v>35788.759999999776</v>
      </c>
      <c r="E25" s="167">
        <f>E$11+E$16+E$24</f>
        <v>805797.51</v>
      </c>
      <c r="F25" s="167">
        <f>F$11+F$16+F$24</f>
        <v>485380.16999999993</v>
      </c>
      <c r="G25" s="168">
        <f>G$11+G$16+G$24</f>
        <v>380706.56999999995</v>
      </c>
    </row>
    <row r="26" spans="2:8" s="1" customFormat="1" x14ac:dyDescent="0.2">
      <c r="B26" s="10"/>
      <c r="C26" s="11"/>
      <c r="D26" s="11"/>
      <c r="E26" s="11"/>
      <c r="F26" s="11"/>
      <c r="G26" s="11"/>
    </row>
    <row r="27" spans="2:8" s="1" customFormat="1" x14ac:dyDescent="0.2">
      <c r="B27" s="78" t="s">
        <v>46</v>
      </c>
      <c r="C27" s="89">
        <f>ROUND(-'Activity Information'!$O$74/COUNTA('Item Information'!$C9:$G9),2)</f>
        <v>-58108.87</v>
      </c>
      <c r="D27" s="90">
        <f>ROUND(-'Activity Information'!$O$74/COUNTA('Item Information'!$C9:$G9),2)</f>
        <v>-58108.87</v>
      </c>
      <c r="E27" s="90">
        <f>ROUND(-'Activity Information'!$O$74/COUNTA('Item Information'!$C9:$G9),2)</f>
        <v>-58108.87</v>
      </c>
      <c r="F27" s="90">
        <f>ROUND(-'Activity Information'!$O$74/COUNTA('Item Information'!$C9:$G9),2)</f>
        <v>-58108.87</v>
      </c>
      <c r="G27" s="91">
        <f>ROUND(-'Activity Information'!$O$74/COUNTA('Item Information'!$C9:$G9),2)</f>
        <v>-58108.87</v>
      </c>
    </row>
    <row r="28" spans="2:8" s="1" customFormat="1" ht="13.5" thickBot="1" x14ac:dyDescent="0.25">
      <c r="B28" s="79" t="s">
        <v>54</v>
      </c>
      <c r="C28" s="103">
        <f>C$25+C$27</f>
        <v>353618.15</v>
      </c>
      <c r="D28" s="104">
        <f>D$25+D$27</f>
        <v>-22320.110000000226</v>
      </c>
      <c r="E28" s="104">
        <f>E$25+E$27</f>
        <v>747688.64</v>
      </c>
      <c r="F28" s="104">
        <f>F$25+F$27</f>
        <v>427271.29999999993</v>
      </c>
      <c r="G28" s="105">
        <f>G$25+G$27</f>
        <v>322597.69999999995</v>
      </c>
    </row>
    <row r="29" spans="2:8" s="1" customFormat="1" ht="13.5" thickTop="1" x14ac:dyDescent="0.2"/>
    <row r="30" spans="2:8" s="1" customFormat="1" x14ac:dyDescent="0.2">
      <c r="B30" s="45" t="s">
        <v>48</v>
      </c>
    </row>
    <row r="31" spans="2:8" s="1" customFormat="1" x14ac:dyDescent="0.2">
      <c r="B31" s="51" t="s">
        <v>49</v>
      </c>
      <c r="C31" s="92">
        <f>C$11/C$10</f>
        <v>155.4</v>
      </c>
      <c r="D31" s="93">
        <f>D$11/D$10</f>
        <v>267.32498249435929</v>
      </c>
      <c r="E31" s="93">
        <f t="shared" ref="E31:G31" si="0">E$11/E$10</f>
        <v>157.2500102834108</v>
      </c>
      <c r="F31" s="93">
        <f t="shared" si="0"/>
        <v>260.85002016942315</v>
      </c>
      <c r="G31" s="94">
        <f t="shared" si="0"/>
        <v>101.75000805905677</v>
      </c>
      <c r="H31" s="1" t="s">
        <v>81</v>
      </c>
    </row>
    <row r="32" spans="2:8" s="1" customFormat="1" x14ac:dyDescent="0.2">
      <c r="B32" s="51" t="s">
        <v>51</v>
      </c>
      <c r="C32" s="95">
        <f>ROUND((C$24+C$16)/C$10,2)</f>
        <v>-127.56</v>
      </c>
      <c r="D32" s="169">
        <f>ROUND((D$24+D$16)/D$10,2)</f>
        <v>-264.54000000000002</v>
      </c>
      <c r="E32" s="169">
        <f t="shared" ref="E32:G32" si="1">ROUND((E$24+E$16)/E$10,2)</f>
        <v>-124.1</v>
      </c>
      <c r="F32" s="169">
        <f t="shared" si="1"/>
        <v>-221.69</v>
      </c>
      <c r="G32" s="170">
        <f t="shared" si="1"/>
        <v>-89.48</v>
      </c>
      <c r="H32" s="1" t="s">
        <v>82</v>
      </c>
    </row>
    <row r="33" spans="2:8" s="1" customFormat="1" x14ac:dyDescent="0.2">
      <c r="B33" s="80" t="s">
        <v>52</v>
      </c>
      <c r="C33" s="109">
        <f>SUM(C31:C32)</f>
        <v>27.840000000000003</v>
      </c>
      <c r="D33" s="110">
        <f>SUM(D31:D32)</f>
        <v>2.7849824943592694</v>
      </c>
      <c r="E33" s="110">
        <f>SUM(E31:E32)</f>
        <v>33.150010283410808</v>
      </c>
      <c r="F33" s="110">
        <f>SUM(F31:F32)</f>
        <v>39.160020169423149</v>
      </c>
      <c r="G33" s="111">
        <f>SUM(G31:G32)</f>
        <v>12.270008059056764</v>
      </c>
    </row>
    <row r="34" spans="2:8" s="1" customFormat="1" x14ac:dyDescent="0.2">
      <c r="B34" s="81" t="s">
        <v>53</v>
      </c>
      <c r="C34" s="112">
        <f>ROUND(C$27/C$10,2)</f>
        <v>-3.93</v>
      </c>
      <c r="D34" s="113">
        <f t="shared" ref="D34:E34" si="2">ROUND(D$27/D$10,2)</f>
        <v>-4.5199999999999996</v>
      </c>
      <c r="E34" s="113">
        <f t="shared" si="2"/>
        <v>-2.39</v>
      </c>
      <c r="F34" s="113">
        <f>ROUND(F$27/F$10,2)</f>
        <v>-4.6900000000000004</v>
      </c>
      <c r="G34" s="114">
        <f>ROUND(G$27/G$10,2)</f>
        <v>-1.87</v>
      </c>
      <c r="H34" s="1" t="s">
        <v>83</v>
      </c>
    </row>
    <row r="35" spans="2:8" s="1" customFormat="1" ht="13.5" thickBot="1" x14ac:dyDescent="0.25">
      <c r="B35" s="82" t="s">
        <v>55</v>
      </c>
      <c r="C35" s="106">
        <f>SUM(C33:C34)</f>
        <v>23.910000000000004</v>
      </c>
      <c r="D35" s="107">
        <f>SUM(D33:D34)</f>
        <v>-1.7350175056407302</v>
      </c>
      <c r="E35" s="107">
        <f>SUM(E33:E34)</f>
        <v>30.760010283410807</v>
      </c>
      <c r="F35" s="107">
        <f>SUM(F33:F34)</f>
        <v>34.470020169423151</v>
      </c>
      <c r="G35" s="108">
        <f>SUM(G33:G34)</f>
        <v>10.400008059056763</v>
      </c>
    </row>
    <row r="36" spans="2:8" ht="13.5" thickTop="1" x14ac:dyDescent="0.2"/>
    <row r="77" spans="2:2" x14ac:dyDescent="0.2">
      <c r="B77" s="1" t="s">
        <v>57</v>
      </c>
    </row>
    <row r="78" spans="2:2" x14ac:dyDescent="0.2">
      <c r="B78" s="9" t="s">
        <v>61</v>
      </c>
    </row>
  </sheetData>
  <mergeCells count="2">
    <mergeCell ref="B2:D2"/>
    <mergeCell ref="B4:D5"/>
  </mergeCells>
  <pageMargins left="0.7" right="0.7" top="0.75" bottom="0.75" header="0.3" footer="0.3"/>
  <pageSetup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5" zoomScaleNormal="85" workbookViewId="0"/>
  </sheetViews>
  <sheetFormatPr defaultRowHeight="12.75" x14ac:dyDescent="0.2"/>
  <cols>
    <col min="1" max="1" width="29" style="144" bestFit="1" customWidth="1"/>
    <col min="2" max="6" width="9" style="144" bestFit="1" customWidth="1"/>
    <col min="7" max="16384" width="9.140625" style="144"/>
  </cols>
  <sheetData>
    <row r="1" spans="1:6" ht="13.5" thickBot="1" x14ac:dyDescent="0.25">
      <c r="A1" s="130"/>
      <c r="B1" s="141" t="str">
        <f>'Executive Summary'!C8</f>
        <v>Item1</v>
      </c>
      <c r="C1" s="142" t="str">
        <f>'Executive Summary'!D8</f>
        <v>Item2</v>
      </c>
      <c r="D1" s="142" t="str">
        <f>'Executive Summary'!E8</f>
        <v>Item3</v>
      </c>
      <c r="E1" s="142" t="str">
        <f>'Executive Summary'!F8</f>
        <v>Item4</v>
      </c>
      <c r="F1" s="143" t="str">
        <f>'Executive Summary'!G8</f>
        <v>Item5</v>
      </c>
    </row>
    <row r="2" spans="1:6" x14ac:dyDescent="0.2">
      <c r="A2" s="131" t="s">
        <v>63</v>
      </c>
      <c r="B2" s="136">
        <f>'Executive Summary'!C31</f>
        <v>155.4</v>
      </c>
      <c r="C2" s="137">
        <f>'Executive Summary'!D31</f>
        <v>267.32498249435929</v>
      </c>
      <c r="D2" s="137">
        <f>'Executive Summary'!E31</f>
        <v>157.2500102834108</v>
      </c>
      <c r="E2" s="137">
        <f>'Executive Summary'!F31</f>
        <v>260.85002016942315</v>
      </c>
      <c r="F2" s="138">
        <f>'Executive Summary'!G31</f>
        <v>101.75000805905677</v>
      </c>
    </row>
    <row r="3" spans="1:6" x14ac:dyDescent="0.2">
      <c r="A3" s="131" t="str">
        <f>'Executive Summary'!B32</f>
        <v>Direct and allocated cost per unit</v>
      </c>
      <c r="B3" s="139">
        <f>-'Executive Summary'!C32</f>
        <v>127.56</v>
      </c>
      <c r="C3" s="129">
        <f>-'Executive Summary'!D32</f>
        <v>264.54000000000002</v>
      </c>
      <c r="D3" s="129">
        <f>-'Executive Summary'!E32</f>
        <v>124.1</v>
      </c>
      <c r="E3" s="129">
        <f>-'Executive Summary'!F32</f>
        <v>221.69</v>
      </c>
      <c r="F3" s="132">
        <f>-'Executive Summary'!G32</f>
        <v>89.48</v>
      </c>
    </row>
    <row r="4" spans="1:6" x14ac:dyDescent="0.2">
      <c r="A4" s="131" t="str">
        <f>'Executive Summary'!B34</f>
        <v>Unallocated cost per unit</v>
      </c>
      <c r="B4" s="139">
        <f>-'Executive Summary'!C34</f>
        <v>3.93</v>
      </c>
      <c r="C4" s="129">
        <f>-'Executive Summary'!D34</f>
        <v>4.5199999999999996</v>
      </c>
      <c r="D4" s="129">
        <f>-'Executive Summary'!E34</f>
        <v>2.39</v>
      </c>
      <c r="E4" s="129">
        <f>-'Executive Summary'!F34</f>
        <v>4.6900000000000004</v>
      </c>
      <c r="F4" s="132">
        <f>-'Executive Summary'!G34</f>
        <v>1.87</v>
      </c>
    </row>
    <row r="5" spans="1:6" x14ac:dyDescent="0.2">
      <c r="A5" s="145" t="s">
        <v>64</v>
      </c>
      <c r="B5" s="146">
        <f>B4+B3</f>
        <v>131.49</v>
      </c>
      <c r="C5" s="147">
        <f t="shared" ref="C5:F5" si="0">C4+C3</f>
        <v>269.06</v>
      </c>
      <c r="D5" s="147">
        <f t="shared" si="0"/>
        <v>126.49</v>
      </c>
      <c r="E5" s="147">
        <f t="shared" si="0"/>
        <v>226.38</v>
      </c>
      <c r="F5" s="148">
        <f t="shared" si="0"/>
        <v>91.350000000000009</v>
      </c>
    </row>
    <row r="6" spans="1:6" ht="13.5" thickBot="1" x14ac:dyDescent="0.25">
      <c r="A6" s="133" t="s">
        <v>65</v>
      </c>
      <c r="B6" s="140">
        <f>'Executive Summary'!C35</f>
        <v>23.910000000000004</v>
      </c>
      <c r="C6" s="134">
        <f>'Executive Summary'!D35</f>
        <v>-1.7350175056407302</v>
      </c>
      <c r="D6" s="134">
        <f>'Executive Summary'!E35</f>
        <v>30.760010283410807</v>
      </c>
      <c r="E6" s="134">
        <f>'Executive Summary'!F35</f>
        <v>34.470020169423151</v>
      </c>
      <c r="F6" s="135">
        <f>'Executive Summary'!G35</f>
        <v>10.400008059056763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zoomScaleNormal="85" workbookViewId="0"/>
  </sheetViews>
  <sheetFormatPr defaultRowHeight="12.75" x14ac:dyDescent="0.2"/>
  <cols>
    <col min="1" max="1" width="2.7109375" style="1" customWidth="1"/>
    <col min="2" max="2" width="32.5703125" style="1" bestFit="1" customWidth="1"/>
    <col min="3" max="3" width="11.5703125" style="1" customWidth="1"/>
    <col min="4" max="13" width="11.5703125" style="1" bestFit="1" customWidth="1"/>
    <col min="14" max="14" width="13.28515625" style="1" bestFit="1" customWidth="1"/>
    <col min="15" max="16384" width="9.140625" style="1"/>
  </cols>
  <sheetData>
    <row r="1" spans="2:17" x14ac:dyDescent="0.2">
      <c r="Q1" s="126"/>
    </row>
    <row r="2" spans="2:17" x14ac:dyDescent="0.2">
      <c r="B2" s="171" t="s">
        <v>59</v>
      </c>
      <c r="C2" s="172"/>
      <c r="D2" s="173"/>
      <c r="E2" s="15"/>
      <c r="Q2" s="126"/>
    </row>
    <row r="3" spans="2:17" x14ac:dyDescent="0.2">
      <c r="D3" s="15"/>
      <c r="E3" s="15"/>
      <c r="Q3" s="126"/>
    </row>
    <row r="4" spans="2:17" ht="12.75" customHeight="1" x14ac:dyDescent="0.2">
      <c r="B4" s="174" t="s">
        <v>0</v>
      </c>
      <c r="C4" s="174"/>
      <c r="D4" s="174"/>
      <c r="E4" s="15"/>
      <c r="Q4" s="126"/>
    </row>
    <row r="5" spans="2:17" ht="12.75" customHeight="1" x14ac:dyDescent="0.2">
      <c r="B5" s="174"/>
      <c r="C5" s="174"/>
      <c r="D5" s="174"/>
      <c r="E5" s="15"/>
      <c r="Q5" s="126"/>
    </row>
    <row r="7" spans="2:17" x14ac:dyDescent="0.2">
      <c r="B7" s="38" t="s">
        <v>67</v>
      </c>
    </row>
    <row r="9" spans="2:17" x14ac:dyDescent="0.2">
      <c r="B9" s="115" t="s">
        <v>60</v>
      </c>
      <c r="C9" s="151" t="s">
        <v>36</v>
      </c>
      <c r="D9" s="151" t="s">
        <v>37</v>
      </c>
      <c r="E9" s="151" t="s">
        <v>38</v>
      </c>
      <c r="F9" s="151" t="s">
        <v>39</v>
      </c>
      <c r="G9" s="152" t="s">
        <v>40</v>
      </c>
    </row>
    <row r="10" spans="2:17" x14ac:dyDescent="0.2">
      <c r="B10" s="43" t="s">
        <v>47</v>
      </c>
      <c r="C10" s="119">
        <v>14790</v>
      </c>
      <c r="D10" s="119">
        <v>12853</v>
      </c>
      <c r="E10" s="119">
        <v>24311</v>
      </c>
      <c r="F10" s="119">
        <v>12395</v>
      </c>
      <c r="G10" s="119">
        <v>31021</v>
      </c>
    </row>
    <row r="11" spans="2:17" x14ac:dyDescent="0.2">
      <c r="B11" s="44" t="s">
        <v>44</v>
      </c>
      <c r="C11" s="150">
        <v>2298366</v>
      </c>
      <c r="D11" s="150">
        <v>3435928</v>
      </c>
      <c r="E11" s="150">
        <v>3822905</v>
      </c>
      <c r="F11" s="150">
        <v>3233236</v>
      </c>
      <c r="G11" s="150">
        <v>3156387</v>
      </c>
    </row>
    <row r="14" spans="2:17" x14ac:dyDescent="0.2">
      <c r="B14" s="38" t="s">
        <v>68</v>
      </c>
    </row>
    <row r="15" spans="2:17" x14ac:dyDescent="0.2">
      <c r="H15" s="121" t="s">
        <v>62</v>
      </c>
    </row>
    <row r="16" spans="2:17" x14ac:dyDescent="0.2">
      <c r="B16" s="115" t="s">
        <v>7</v>
      </c>
      <c r="C16" s="149">
        <v>378953</v>
      </c>
      <c r="D16" s="149">
        <v>1696401</v>
      </c>
      <c r="E16" s="149">
        <v>1129207</v>
      </c>
      <c r="F16" s="149">
        <v>1040302</v>
      </c>
      <c r="G16" s="149">
        <v>938312</v>
      </c>
      <c r="H16" s="122">
        <f>SUM($C16:$G16)</f>
        <v>5183175</v>
      </c>
    </row>
    <row r="17" spans="2:14" x14ac:dyDescent="0.2">
      <c r="B17" s="116" t="s">
        <v>8</v>
      </c>
      <c r="C17" s="117">
        <v>598320</v>
      </c>
      <c r="D17" s="117">
        <v>294637</v>
      </c>
      <c r="E17" s="117">
        <v>888315</v>
      </c>
      <c r="F17" s="117">
        <v>600617</v>
      </c>
      <c r="G17" s="117">
        <v>868180</v>
      </c>
      <c r="H17" s="50">
        <f>SUM($C17:$G17)</f>
        <v>3250069</v>
      </c>
    </row>
    <row r="20" spans="2:14" x14ac:dyDescent="0.2">
      <c r="B20" s="38" t="s">
        <v>43</v>
      </c>
      <c r="C20" s="1" t="s">
        <v>69</v>
      </c>
    </row>
    <row r="21" spans="2:14" x14ac:dyDescent="0.2">
      <c r="C21" s="72" t="str">
        <f>C$9</f>
        <v>Item1</v>
      </c>
      <c r="D21" s="73" t="str">
        <f>D$9</f>
        <v>Item2</v>
      </c>
      <c r="E21" s="73" t="str">
        <f>E$9</f>
        <v>Item3</v>
      </c>
      <c r="F21" s="73" t="str">
        <f>F$9</f>
        <v>Item4</v>
      </c>
      <c r="G21" s="73" t="str">
        <f>G$9</f>
        <v>Item5</v>
      </c>
      <c r="H21" s="123" t="s">
        <v>62</v>
      </c>
      <c r="I21" s="12">
        <v>1</v>
      </c>
    </row>
    <row r="22" spans="2:14" x14ac:dyDescent="0.2">
      <c r="B22" s="42" t="str">
        <f>'Activity Information'!$C37</f>
        <v>Number of products designed</v>
      </c>
      <c r="C22" s="118">
        <v>0</v>
      </c>
      <c r="D22" s="118">
        <v>1</v>
      </c>
      <c r="E22" s="118">
        <v>0</v>
      </c>
      <c r="F22" s="118">
        <v>0</v>
      </c>
      <c r="G22" s="118">
        <v>1</v>
      </c>
      <c r="H22" s="124">
        <f>SUM($C22:$G22)</f>
        <v>2</v>
      </c>
    </row>
    <row r="23" spans="2:14" x14ac:dyDescent="0.2">
      <c r="B23" s="43" t="str">
        <f>'Activity Information'!$C38</f>
        <v>Number of POs</v>
      </c>
      <c r="C23" s="119">
        <v>128</v>
      </c>
      <c r="D23" s="119">
        <v>155</v>
      </c>
      <c r="E23" s="119">
        <v>141</v>
      </c>
      <c r="F23" s="119">
        <v>155</v>
      </c>
      <c r="G23" s="119">
        <v>93</v>
      </c>
      <c r="H23" s="49">
        <f>SUM($C23:$G23)</f>
        <v>672</v>
      </c>
      <c r="I23" s="166"/>
      <c r="J23" s="166"/>
      <c r="K23" s="166"/>
      <c r="L23" s="166"/>
      <c r="M23" s="166"/>
      <c r="N23" s="166"/>
    </row>
    <row r="24" spans="2:14" x14ac:dyDescent="0.2">
      <c r="B24" s="43" t="str">
        <f>'Activity Information'!$C39</f>
        <v>Number of manufacturing batches</v>
      </c>
      <c r="C24" s="119">
        <v>32</v>
      </c>
      <c r="D24" s="119">
        <v>39</v>
      </c>
      <c r="E24" s="119">
        <v>36</v>
      </c>
      <c r="F24" s="119">
        <v>40</v>
      </c>
      <c r="G24" s="119">
        <v>23</v>
      </c>
      <c r="H24" s="49">
        <f>SUM($C24:$G24)</f>
        <v>170</v>
      </c>
      <c r="I24" s="165"/>
      <c r="J24" s="165"/>
      <c r="K24" s="165"/>
      <c r="L24" s="165"/>
      <c r="M24" s="165"/>
      <c r="N24" s="165"/>
    </row>
    <row r="25" spans="2:14" x14ac:dyDescent="0.2">
      <c r="B25" s="43" t="str">
        <f>'Activity Information'!$C40</f>
        <v>Number of shipments</v>
      </c>
      <c r="C25" s="119">
        <v>29</v>
      </c>
      <c r="D25" s="119">
        <v>36</v>
      </c>
      <c r="E25" s="119">
        <v>32</v>
      </c>
      <c r="F25" s="119">
        <v>35</v>
      </c>
      <c r="G25" s="119">
        <v>22</v>
      </c>
      <c r="H25" s="49">
        <f>SUM($C25:$G25)</f>
        <v>154</v>
      </c>
      <c r="I25" s="165"/>
      <c r="J25" s="165"/>
      <c r="K25" s="165"/>
      <c r="L25" s="165"/>
      <c r="M25" s="165"/>
      <c r="N25" s="165"/>
    </row>
    <row r="26" spans="2:14" x14ac:dyDescent="0.2">
      <c r="B26" s="44" t="str">
        <f>'Activity Information'!$C41</f>
        <v>Number of customers</v>
      </c>
      <c r="C26" s="120">
        <v>7</v>
      </c>
      <c r="D26" s="120">
        <v>8</v>
      </c>
      <c r="E26" s="120">
        <v>7</v>
      </c>
      <c r="F26" s="120">
        <v>8</v>
      </c>
      <c r="G26" s="120">
        <v>5</v>
      </c>
      <c r="H26" s="50">
        <f>SUM($C26:$G26)</f>
        <v>35</v>
      </c>
      <c r="I26" s="165"/>
      <c r="J26" s="165"/>
      <c r="K26" s="165"/>
      <c r="L26" s="165"/>
      <c r="M26" s="165"/>
      <c r="N26" s="165"/>
    </row>
    <row r="30" spans="2:14" x14ac:dyDescent="0.2">
      <c r="B30" s="1" t="s">
        <v>57</v>
      </c>
    </row>
    <row r="31" spans="2:14" x14ac:dyDescent="0.2">
      <c r="B31" s="9" t="s">
        <v>66</v>
      </c>
    </row>
  </sheetData>
  <mergeCells count="2">
    <mergeCell ref="B2:D2"/>
    <mergeCell ref="B4:D5"/>
  </mergeCells>
  <phoneticPr fontId="8" type="noConversion"/>
  <pageMargins left="0.7" right="0.7" top="0.75" bottom="0.75" header="0.3" footer="0.3"/>
  <pageSetup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2"/>
  <sheetViews>
    <sheetView tabSelected="1" zoomScale="85" zoomScaleNormal="85" workbookViewId="0"/>
  </sheetViews>
  <sheetFormatPr defaultRowHeight="12.75" x14ac:dyDescent="0.2"/>
  <cols>
    <col min="1" max="1" width="2.7109375" style="1" customWidth="1"/>
    <col min="2" max="2" width="29.28515625" style="1" customWidth="1"/>
    <col min="3" max="3" width="12.28515625" style="1" customWidth="1"/>
    <col min="4" max="15" width="13.7109375" style="1" customWidth="1"/>
    <col min="16" max="16384" width="9.140625" style="1"/>
  </cols>
  <sheetData>
    <row r="1" spans="2:17" s="13" customFormat="1" ht="14.25" x14ac:dyDescent="0.2">
      <c r="Q1" s="14"/>
    </row>
    <row r="2" spans="2:17" s="13" customFormat="1" ht="14.25" x14ac:dyDescent="0.2">
      <c r="B2" s="171" t="s">
        <v>59</v>
      </c>
      <c r="C2" s="172"/>
      <c r="D2" s="173"/>
      <c r="E2" s="15"/>
      <c r="Q2" s="14"/>
    </row>
    <row r="3" spans="2:17" s="13" customFormat="1" ht="14.25" x14ac:dyDescent="0.2">
      <c r="D3" s="16"/>
      <c r="E3" s="17"/>
      <c r="Q3" s="14"/>
    </row>
    <row r="4" spans="2:17" s="13" customFormat="1" ht="12.75" customHeight="1" x14ac:dyDescent="0.2">
      <c r="B4" s="174" t="s">
        <v>0</v>
      </c>
      <c r="C4" s="174"/>
      <c r="D4" s="174"/>
      <c r="E4" s="17"/>
      <c r="Q4" s="14"/>
    </row>
    <row r="5" spans="2:17" s="13" customFormat="1" ht="12.75" customHeight="1" x14ac:dyDescent="0.2">
      <c r="B5" s="174"/>
      <c r="C5" s="174"/>
      <c r="D5" s="174"/>
      <c r="E5" s="15"/>
      <c r="Q5" s="14"/>
    </row>
    <row r="7" spans="2:17" s="2" customFormat="1" x14ac:dyDescent="0.2">
      <c r="B7" s="38" t="s">
        <v>74</v>
      </c>
    </row>
    <row r="9" spans="2:17" x14ac:dyDescent="0.2">
      <c r="B9" s="18" t="s">
        <v>20</v>
      </c>
      <c r="C9" s="19" t="s">
        <v>19</v>
      </c>
    </row>
    <row r="10" spans="2:17" x14ac:dyDescent="0.2">
      <c r="B10" s="24" t="s">
        <v>7</v>
      </c>
      <c r="C10" s="25">
        <f>'Item Information'!H16</f>
        <v>5183175</v>
      </c>
      <c r="D10" s="1" t="s">
        <v>71</v>
      </c>
    </row>
    <row r="11" spans="2:17" x14ac:dyDescent="0.2">
      <c r="B11" s="26" t="s">
        <v>8</v>
      </c>
      <c r="C11" s="27">
        <f>'Item Information'!H17</f>
        <v>3250069</v>
      </c>
      <c r="D11" s="1" t="s">
        <v>72</v>
      </c>
    </row>
    <row r="12" spans="2:17" x14ac:dyDescent="0.2">
      <c r="B12" s="20" t="s">
        <v>9</v>
      </c>
      <c r="C12" s="21">
        <v>499999</v>
      </c>
    </row>
    <row r="13" spans="2:17" x14ac:dyDescent="0.2">
      <c r="B13" s="22" t="s">
        <v>12</v>
      </c>
      <c r="C13" s="23">
        <v>100000</v>
      </c>
    </row>
    <row r="14" spans="2:17" x14ac:dyDescent="0.2">
      <c r="B14" s="22" t="s">
        <v>10</v>
      </c>
      <c r="C14" s="23">
        <v>157142</v>
      </c>
    </row>
    <row r="15" spans="2:17" x14ac:dyDescent="0.2">
      <c r="B15" s="22" t="s">
        <v>14</v>
      </c>
      <c r="C15" s="23">
        <v>271428</v>
      </c>
    </row>
    <row r="16" spans="2:17" x14ac:dyDescent="0.2">
      <c r="B16" s="22" t="s">
        <v>11</v>
      </c>
      <c r="C16" s="23">
        <v>642856</v>
      </c>
    </row>
    <row r="17" spans="2:6" x14ac:dyDescent="0.2">
      <c r="B17" s="22" t="s">
        <v>13</v>
      </c>
      <c r="C17" s="23">
        <v>499999</v>
      </c>
    </row>
    <row r="18" spans="2:6" x14ac:dyDescent="0.2">
      <c r="B18" s="22" t="s">
        <v>15</v>
      </c>
      <c r="C18" s="23">
        <v>328571</v>
      </c>
    </row>
    <row r="19" spans="2:6" x14ac:dyDescent="0.2">
      <c r="B19" s="22" t="s">
        <v>16</v>
      </c>
      <c r="C19" s="23">
        <v>357142</v>
      </c>
    </row>
    <row r="20" spans="2:6" ht="13.5" thickBot="1" x14ac:dyDescent="0.25">
      <c r="B20" s="30" t="s">
        <v>21</v>
      </c>
      <c r="C20" s="31">
        <f>SUM(C10:C19)</f>
        <v>11290381</v>
      </c>
      <c r="D20" s="12">
        <v>1</v>
      </c>
      <c r="F20" s="6"/>
    </row>
    <row r="21" spans="2:6" ht="13.5" thickTop="1" x14ac:dyDescent="0.2"/>
    <row r="22" spans="2:6" s="2" customFormat="1" x14ac:dyDescent="0.2">
      <c r="B22" s="28" t="s">
        <v>18</v>
      </c>
      <c r="C22" s="29" t="s">
        <v>19</v>
      </c>
    </row>
    <row r="23" spans="2:6" s="2" customFormat="1" x14ac:dyDescent="0.2">
      <c r="B23" s="32" t="s">
        <v>22</v>
      </c>
      <c r="C23" s="33">
        <v>466552</v>
      </c>
    </row>
    <row r="24" spans="2:6" s="2" customFormat="1" x14ac:dyDescent="0.2">
      <c r="B24" s="34" t="s">
        <v>23</v>
      </c>
      <c r="C24" s="35">
        <v>268621</v>
      </c>
    </row>
    <row r="25" spans="2:6" s="2" customFormat="1" x14ac:dyDescent="0.2">
      <c r="B25" s="34" t="s">
        <v>10</v>
      </c>
      <c r="C25" s="35">
        <v>42414</v>
      </c>
    </row>
    <row r="26" spans="2:6" s="2" customFormat="1" x14ac:dyDescent="0.2">
      <c r="B26" s="34" t="s">
        <v>14</v>
      </c>
      <c r="C26" s="35">
        <v>212069</v>
      </c>
    </row>
    <row r="27" spans="2:6" s="2" customFormat="1" x14ac:dyDescent="0.2">
      <c r="B27" s="34" t="s">
        <v>5</v>
      </c>
      <c r="C27" s="35">
        <v>664483</v>
      </c>
    </row>
    <row r="28" spans="2:6" s="2" customFormat="1" x14ac:dyDescent="0.2">
      <c r="B28" s="34" t="s">
        <v>13</v>
      </c>
      <c r="C28" s="35">
        <v>342845</v>
      </c>
    </row>
    <row r="29" spans="2:6" s="2" customFormat="1" x14ac:dyDescent="0.2">
      <c r="B29" s="34" t="s">
        <v>15</v>
      </c>
      <c r="C29" s="35">
        <v>307500</v>
      </c>
    </row>
    <row r="30" spans="2:6" s="2" customFormat="1" x14ac:dyDescent="0.2">
      <c r="B30" s="36" t="s">
        <v>16</v>
      </c>
      <c r="C30" s="37">
        <v>523103</v>
      </c>
    </row>
    <row r="31" spans="2:6" ht="13.5" thickBot="1" x14ac:dyDescent="0.25">
      <c r="B31" s="30" t="s">
        <v>17</v>
      </c>
      <c r="C31" s="31">
        <f>SUM(C23:C30)</f>
        <v>2827587</v>
      </c>
    </row>
    <row r="32" spans="2:6" ht="13.5" thickTop="1" x14ac:dyDescent="0.2"/>
    <row r="34" spans="2:16" s="2" customFormat="1" x14ac:dyDescent="0.2">
      <c r="B34" s="38" t="s">
        <v>1</v>
      </c>
      <c r="C34" s="12">
        <v>2</v>
      </c>
    </row>
    <row r="36" spans="2:16" x14ac:dyDescent="0.2">
      <c r="B36" s="39" t="s">
        <v>2</v>
      </c>
      <c r="C36" s="182" t="s">
        <v>24</v>
      </c>
      <c r="D36" s="183"/>
    </row>
    <row r="37" spans="2:16" x14ac:dyDescent="0.2">
      <c r="B37" s="40" t="s">
        <v>30</v>
      </c>
      <c r="C37" s="180" t="s">
        <v>29</v>
      </c>
      <c r="D37" s="181"/>
    </row>
    <row r="38" spans="2:16" x14ac:dyDescent="0.2">
      <c r="B38" s="22" t="s">
        <v>3</v>
      </c>
      <c r="C38" s="186" t="s">
        <v>25</v>
      </c>
      <c r="D38" s="187"/>
    </row>
    <row r="39" spans="2:16" x14ac:dyDescent="0.2">
      <c r="B39" s="22" t="s">
        <v>4</v>
      </c>
      <c r="C39" s="186" t="s">
        <v>26</v>
      </c>
      <c r="D39" s="187"/>
    </row>
    <row r="40" spans="2:16" x14ac:dyDescent="0.2">
      <c r="B40" s="22" t="s">
        <v>5</v>
      </c>
      <c r="C40" s="186" t="s">
        <v>27</v>
      </c>
      <c r="D40" s="187"/>
    </row>
    <row r="41" spans="2:16" x14ac:dyDescent="0.2">
      <c r="B41" s="41" t="s">
        <v>6</v>
      </c>
      <c r="C41" s="184" t="s">
        <v>28</v>
      </c>
      <c r="D41" s="185"/>
    </row>
    <row r="44" spans="2:16" s="2" customFormat="1" x14ac:dyDescent="0.2">
      <c r="B44" s="38" t="s">
        <v>76</v>
      </c>
    </row>
    <row r="45" spans="2:16" s="2" customFormat="1" x14ac:dyDescent="0.2">
      <c r="D45" s="4"/>
      <c r="E45" s="4"/>
      <c r="F45" s="4"/>
      <c r="G45" s="4"/>
      <c r="H45" s="4"/>
      <c r="I45" s="4"/>
      <c r="J45" s="4"/>
    </row>
    <row r="46" spans="2:16" s="2" customFormat="1" x14ac:dyDescent="0.2">
      <c r="B46" s="45" t="s">
        <v>20</v>
      </c>
      <c r="C46" s="1"/>
      <c r="D46" s="178" t="str">
        <f>$B$37</f>
        <v>Research &amp; development</v>
      </c>
      <c r="E46" s="179"/>
      <c r="F46" s="175" t="str">
        <f>$B$38</f>
        <v>Procure materials</v>
      </c>
      <c r="G46" s="176"/>
      <c r="H46" s="175" t="str">
        <f>$B$39</f>
        <v>Manufacturing</v>
      </c>
      <c r="I46" s="176"/>
      <c r="J46" s="175" t="str">
        <f>$B$40</f>
        <v>Shipping</v>
      </c>
      <c r="K46" s="176"/>
      <c r="L46" s="175" t="str">
        <f>$B$41</f>
        <v>Marketing/customer service</v>
      </c>
      <c r="M46" s="176"/>
      <c r="N46" s="175" t="s">
        <v>31</v>
      </c>
      <c r="O46" s="177"/>
    </row>
    <row r="47" spans="2:16" s="2" customFormat="1" x14ac:dyDescent="0.2">
      <c r="B47" s="51" t="str">
        <f t="shared" ref="B47:B56" si="0">$B10</f>
        <v>Direct materials</v>
      </c>
      <c r="C47" s="52">
        <f t="shared" ref="C47:C48" si="1">$C10</f>
        <v>5183175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" t="s">
        <v>77</v>
      </c>
    </row>
    <row r="48" spans="2:16" s="2" customFormat="1" x14ac:dyDescent="0.2">
      <c r="B48" s="51" t="str">
        <f t="shared" si="0"/>
        <v>Direct labor</v>
      </c>
      <c r="C48" s="53">
        <f t="shared" si="1"/>
        <v>3250069</v>
      </c>
      <c r="D48" s="5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1" t="s">
        <v>78</v>
      </c>
    </row>
    <row r="49" spans="2:16" s="2" customFormat="1" x14ac:dyDescent="0.2">
      <c r="B49" s="51" t="str">
        <f t="shared" si="0"/>
        <v>Indirect labor</v>
      </c>
      <c r="C49" s="53">
        <f t="shared" ref="C49:C56" si="2">$C12</f>
        <v>499999</v>
      </c>
      <c r="D49" s="63">
        <v>0</v>
      </c>
      <c r="E49" s="60">
        <f t="shared" ref="E49:E56" si="3">ROUND($C49*D49,2)</f>
        <v>0</v>
      </c>
      <c r="F49" s="63">
        <v>0.5</v>
      </c>
      <c r="G49" s="60">
        <f t="shared" ref="G49:G56" si="4">ROUND($C49*F49,2)</f>
        <v>249999.5</v>
      </c>
      <c r="H49" s="63">
        <v>0.5</v>
      </c>
      <c r="I49" s="60">
        <f t="shared" ref="I49:I56" si="5">ROUND($C49*H49,2)</f>
        <v>249999.5</v>
      </c>
      <c r="J49" s="63">
        <v>0</v>
      </c>
      <c r="K49" s="60">
        <f t="shared" ref="K49:K56" si="6">ROUND($C49*J49,2)</f>
        <v>0</v>
      </c>
      <c r="L49" s="63">
        <v>0</v>
      </c>
      <c r="M49" s="60">
        <f t="shared" ref="M49:M56" si="7">ROUND($C49*L49,2)</f>
        <v>0</v>
      </c>
      <c r="N49" s="63">
        <f t="shared" ref="N49:N56" si="8">1-(D49+F49+H49+J49+L49)</f>
        <v>0</v>
      </c>
      <c r="O49" s="60">
        <f t="shared" ref="O49:O56" si="9">ROUND($C49*N49,2)</f>
        <v>0</v>
      </c>
      <c r="P49" s="154" t="str">
        <f t="shared" ref="P49:P56" si="10">IF(SUM(D49,F49,H49,J49,L49,N49)&lt;&gt;1,"ERROR, SUM OF PERCENTAGES MUST EQUAL 100%","")</f>
        <v/>
      </c>
    </row>
    <row r="50" spans="2:16" s="2" customFormat="1" x14ac:dyDescent="0.2">
      <c r="B50" s="51" t="str">
        <f t="shared" si="0"/>
        <v>Misc employee expenses</v>
      </c>
      <c r="C50" s="53">
        <f t="shared" si="2"/>
        <v>100000</v>
      </c>
      <c r="D50" s="64">
        <v>0</v>
      </c>
      <c r="E50" s="61">
        <f t="shared" si="3"/>
        <v>0</v>
      </c>
      <c r="F50" s="64">
        <v>0.3</v>
      </c>
      <c r="G50" s="61">
        <f t="shared" si="4"/>
        <v>30000</v>
      </c>
      <c r="H50" s="64">
        <v>0.35</v>
      </c>
      <c r="I50" s="61">
        <f t="shared" si="5"/>
        <v>35000</v>
      </c>
      <c r="J50" s="64">
        <v>0</v>
      </c>
      <c r="K50" s="61">
        <f t="shared" si="6"/>
        <v>0</v>
      </c>
      <c r="L50" s="64">
        <v>0</v>
      </c>
      <c r="M50" s="61">
        <f t="shared" si="7"/>
        <v>0</v>
      </c>
      <c r="N50" s="64">
        <v>0.35</v>
      </c>
      <c r="O50" s="61">
        <f t="shared" si="9"/>
        <v>35000</v>
      </c>
      <c r="P50" s="154" t="str">
        <f t="shared" si="10"/>
        <v/>
      </c>
    </row>
    <row r="51" spans="2:16" s="2" customFormat="1" x14ac:dyDescent="0.2">
      <c r="B51" s="51" t="str">
        <f t="shared" si="0"/>
        <v>Supplies</v>
      </c>
      <c r="C51" s="53">
        <f t="shared" si="2"/>
        <v>157142</v>
      </c>
      <c r="D51" s="64">
        <v>0</v>
      </c>
      <c r="E51" s="61">
        <f t="shared" si="3"/>
        <v>0</v>
      </c>
      <c r="F51" s="64">
        <v>0.75</v>
      </c>
      <c r="G51" s="61">
        <f t="shared" si="4"/>
        <v>117856.5</v>
      </c>
      <c r="H51" s="64">
        <v>0.25</v>
      </c>
      <c r="I51" s="61">
        <f t="shared" si="5"/>
        <v>39285.5</v>
      </c>
      <c r="J51" s="64">
        <v>0</v>
      </c>
      <c r="K51" s="61">
        <f t="shared" si="6"/>
        <v>0</v>
      </c>
      <c r="L51" s="64">
        <v>0</v>
      </c>
      <c r="M51" s="61">
        <f t="shared" si="7"/>
        <v>0</v>
      </c>
      <c r="N51" s="64">
        <f t="shared" si="8"/>
        <v>0</v>
      </c>
      <c r="O51" s="61">
        <f t="shared" si="9"/>
        <v>0</v>
      </c>
      <c r="P51" s="154" t="str">
        <f t="shared" si="10"/>
        <v/>
      </c>
    </row>
    <row r="52" spans="2:16" s="2" customFormat="1" x14ac:dyDescent="0.2">
      <c r="B52" s="51" t="str">
        <f t="shared" si="0"/>
        <v>Maintenance</v>
      </c>
      <c r="C52" s="53">
        <f t="shared" si="2"/>
        <v>271428</v>
      </c>
      <c r="D52" s="64">
        <v>0</v>
      </c>
      <c r="E52" s="61">
        <f t="shared" si="3"/>
        <v>0</v>
      </c>
      <c r="F52" s="64">
        <v>0.3</v>
      </c>
      <c r="G52" s="61">
        <f t="shared" si="4"/>
        <v>81428.399999999994</v>
      </c>
      <c r="H52" s="64">
        <v>0.7</v>
      </c>
      <c r="I52" s="61">
        <f t="shared" si="5"/>
        <v>189999.6</v>
      </c>
      <c r="J52" s="64">
        <v>0</v>
      </c>
      <c r="K52" s="61">
        <f t="shared" si="6"/>
        <v>0</v>
      </c>
      <c r="L52" s="64">
        <v>0</v>
      </c>
      <c r="M52" s="61">
        <f t="shared" si="7"/>
        <v>0</v>
      </c>
      <c r="N52" s="64">
        <f t="shared" si="8"/>
        <v>0</v>
      </c>
      <c r="O52" s="61">
        <f t="shared" si="9"/>
        <v>0</v>
      </c>
      <c r="P52" s="154" t="str">
        <f t="shared" si="10"/>
        <v/>
      </c>
    </row>
    <row r="53" spans="2:16" s="2" customFormat="1" x14ac:dyDescent="0.2">
      <c r="B53" s="51" t="str">
        <f t="shared" si="0"/>
        <v>Freight in</v>
      </c>
      <c r="C53" s="53">
        <f t="shared" si="2"/>
        <v>642856</v>
      </c>
      <c r="D53" s="64">
        <v>0</v>
      </c>
      <c r="E53" s="61">
        <f t="shared" si="3"/>
        <v>0</v>
      </c>
      <c r="F53" s="64">
        <v>0.7</v>
      </c>
      <c r="G53" s="61">
        <f t="shared" si="4"/>
        <v>449999.2</v>
      </c>
      <c r="H53" s="64">
        <v>0.3</v>
      </c>
      <c r="I53" s="61">
        <f t="shared" si="5"/>
        <v>192856.8</v>
      </c>
      <c r="J53" s="64">
        <v>0</v>
      </c>
      <c r="K53" s="61">
        <f t="shared" si="6"/>
        <v>0</v>
      </c>
      <c r="L53" s="64">
        <v>0</v>
      </c>
      <c r="M53" s="61">
        <f t="shared" si="7"/>
        <v>0</v>
      </c>
      <c r="N53" s="64">
        <f t="shared" si="8"/>
        <v>0</v>
      </c>
      <c r="O53" s="61">
        <f t="shared" si="9"/>
        <v>0</v>
      </c>
      <c r="P53" s="154" t="str">
        <f t="shared" si="10"/>
        <v/>
      </c>
    </row>
    <row r="54" spans="2:16" s="2" customFormat="1" x14ac:dyDescent="0.2">
      <c r="B54" s="51" t="str">
        <f t="shared" si="0"/>
        <v>Depreciation</v>
      </c>
      <c r="C54" s="53">
        <f t="shared" si="2"/>
        <v>499999</v>
      </c>
      <c r="D54" s="64">
        <v>0</v>
      </c>
      <c r="E54" s="61">
        <f t="shared" si="3"/>
        <v>0</v>
      </c>
      <c r="F54" s="64">
        <v>0.55000000000000004</v>
      </c>
      <c r="G54" s="61">
        <f t="shared" si="4"/>
        <v>274999.45</v>
      </c>
      <c r="H54" s="64">
        <v>0.45</v>
      </c>
      <c r="I54" s="61">
        <f t="shared" si="5"/>
        <v>224999.55</v>
      </c>
      <c r="J54" s="64">
        <v>0</v>
      </c>
      <c r="K54" s="61">
        <f t="shared" si="6"/>
        <v>0</v>
      </c>
      <c r="L54" s="64">
        <v>0</v>
      </c>
      <c r="M54" s="61">
        <f t="shared" si="7"/>
        <v>0</v>
      </c>
      <c r="N54" s="64">
        <f t="shared" si="8"/>
        <v>0</v>
      </c>
      <c r="O54" s="61">
        <f t="shared" si="9"/>
        <v>0</v>
      </c>
      <c r="P54" s="154" t="str">
        <f t="shared" si="10"/>
        <v/>
      </c>
    </row>
    <row r="55" spans="2:16" s="2" customFormat="1" x14ac:dyDescent="0.2">
      <c r="B55" s="51" t="str">
        <f t="shared" si="0"/>
        <v>Utilities</v>
      </c>
      <c r="C55" s="53">
        <f t="shared" si="2"/>
        <v>328571</v>
      </c>
      <c r="D55" s="64">
        <v>0</v>
      </c>
      <c r="E55" s="61">
        <f t="shared" si="3"/>
        <v>0</v>
      </c>
      <c r="F55" s="64">
        <v>0.3</v>
      </c>
      <c r="G55" s="61">
        <f t="shared" si="4"/>
        <v>98571.3</v>
      </c>
      <c r="H55" s="64">
        <v>0.65</v>
      </c>
      <c r="I55" s="61">
        <f t="shared" si="5"/>
        <v>213571.15</v>
      </c>
      <c r="J55" s="64">
        <v>0</v>
      </c>
      <c r="K55" s="61">
        <f t="shared" si="6"/>
        <v>0</v>
      </c>
      <c r="L55" s="64">
        <v>0</v>
      </c>
      <c r="M55" s="61">
        <f t="shared" si="7"/>
        <v>0</v>
      </c>
      <c r="N55" s="64">
        <f t="shared" si="8"/>
        <v>5.0000000000000044E-2</v>
      </c>
      <c r="O55" s="61">
        <f t="shared" si="9"/>
        <v>16428.55</v>
      </c>
      <c r="P55" s="154" t="str">
        <f t="shared" si="10"/>
        <v/>
      </c>
    </row>
    <row r="56" spans="2:16" s="2" customFormat="1" x14ac:dyDescent="0.2">
      <c r="B56" s="51" t="str">
        <f t="shared" si="0"/>
        <v>Lease expense</v>
      </c>
      <c r="C56" s="27">
        <f t="shared" si="2"/>
        <v>357142</v>
      </c>
      <c r="D56" s="65">
        <v>0</v>
      </c>
      <c r="E56" s="62">
        <f t="shared" si="3"/>
        <v>0</v>
      </c>
      <c r="F56" s="65">
        <v>0.4</v>
      </c>
      <c r="G56" s="62">
        <f t="shared" si="4"/>
        <v>142856.79999999999</v>
      </c>
      <c r="H56" s="65">
        <v>0.55000000000000004</v>
      </c>
      <c r="I56" s="62">
        <f t="shared" si="5"/>
        <v>196428.1</v>
      </c>
      <c r="J56" s="65">
        <v>0</v>
      </c>
      <c r="K56" s="62">
        <f t="shared" si="6"/>
        <v>0</v>
      </c>
      <c r="L56" s="65">
        <v>0</v>
      </c>
      <c r="M56" s="62">
        <f t="shared" si="7"/>
        <v>0</v>
      </c>
      <c r="N56" s="65">
        <f t="shared" si="8"/>
        <v>4.9999999999999933E-2</v>
      </c>
      <c r="O56" s="62">
        <f t="shared" si="9"/>
        <v>17857.099999999999</v>
      </c>
      <c r="P56" s="154" t="str">
        <f t="shared" si="10"/>
        <v/>
      </c>
    </row>
    <row r="57" spans="2:16" s="7" customFormat="1" x14ac:dyDescent="0.2">
      <c r="B57" s="46" t="s">
        <v>18</v>
      </c>
      <c r="P57" s="153"/>
    </row>
    <row r="58" spans="2:16" x14ac:dyDescent="0.2">
      <c r="B58" s="51" t="str">
        <f t="shared" ref="B58:B65" si="11">$B23</f>
        <v>Salaries</v>
      </c>
      <c r="C58" s="54">
        <f t="shared" ref="C58:C65" si="12">$C23</f>
        <v>466552</v>
      </c>
      <c r="D58" s="66">
        <v>0.25</v>
      </c>
      <c r="E58" s="60">
        <f t="shared" ref="E58:E65" si="13">ROUND($C58*D58,2)</f>
        <v>116638</v>
      </c>
      <c r="F58" s="66">
        <v>0.25</v>
      </c>
      <c r="G58" s="60">
        <f>ROUND($C58*F58,2)</f>
        <v>116638</v>
      </c>
      <c r="H58" s="66">
        <v>0.1</v>
      </c>
      <c r="I58" s="60">
        <f t="shared" ref="I58:I65" si="14">ROUND($C58*H58,2)</f>
        <v>46655.199999999997</v>
      </c>
      <c r="J58" s="66">
        <v>0.25</v>
      </c>
      <c r="K58" s="60">
        <f>ROUND($C58*J58,2)</f>
        <v>116638</v>
      </c>
      <c r="L58" s="66">
        <v>0.15</v>
      </c>
      <c r="M58" s="60">
        <f t="shared" ref="M58:M65" si="15">ROUND($C58*L58,2)</f>
        <v>69982.8</v>
      </c>
      <c r="N58" s="66">
        <f t="shared" ref="N58:N65" si="16">1-(D58+F58+H58+J58+L58)</f>
        <v>0</v>
      </c>
      <c r="O58" s="60">
        <f t="shared" ref="O58:O65" si="17">ROUND($C58*N58,2)</f>
        <v>0</v>
      </c>
      <c r="P58" s="154" t="str">
        <f t="shared" ref="P58:P65" si="18">IF(SUM(D58,F58,H58,J58,L58,N58)&lt;&gt;1,"ERROR, SUM OF PERCENTAGES MUST EQUAL 100%","")</f>
        <v/>
      </c>
    </row>
    <row r="59" spans="2:16" x14ac:dyDescent="0.2">
      <c r="B59" s="51" t="str">
        <f t="shared" si="11"/>
        <v>Misc employee expense</v>
      </c>
      <c r="C59" s="53">
        <f t="shared" si="12"/>
        <v>268621</v>
      </c>
      <c r="D59" s="67">
        <v>0.2</v>
      </c>
      <c r="E59" s="61">
        <f t="shared" si="13"/>
        <v>53724.2</v>
      </c>
      <c r="F59" s="67">
        <v>0.15</v>
      </c>
      <c r="G59" s="61">
        <f>ROUND($C59*F59,2)</f>
        <v>40293.15</v>
      </c>
      <c r="H59" s="67">
        <v>0.2</v>
      </c>
      <c r="I59" s="61">
        <f t="shared" si="14"/>
        <v>53724.2</v>
      </c>
      <c r="J59" s="67">
        <v>0.1</v>
      </c>
      <c r="K59" s="61">
        <f>ROUND($C59*J59,2)</f>
        <v>26862.1</v>
      </c>
      <c r="L59" s="67">
        <v>0.25</v>
      </c>
      <c r="M59" s="61">
        <f t="shared" si="15"/>
        <v>67155.25</v>
      </c>
      <c r="N59" s="67">
        <f t="shared" si="16"/>
        <v>9.9999999999999978E-2</v>
      </c>
      <c r="O59" s="61">
        <f t="shared" si="17"/>
        <v>26862.1</v>
      </c>
      <c r="P59" s="154" t="str">
        <f t="shared" si="18"/>
        <v/>
      </c>
    </row>
    <row r="60" spans="2:16" x14ac:dyDescent="0.2">
      <c r="B60" s="51" t="str">
        <f t="shared" si="11"/>
        <v>Supplies</v>
      </c>
      <c r="C60" s="53">
        <f t="shared" si="12"/>
        <v>42414</v>
      </c>
      <c r="D60" s="67">
        <v>0.2</v>
      </c>
      <c r="E60" s="61">
        <f t="shared" si="13"/>
        <v>8482.7999999999993</v>
      </c>
      <c r="F60" s="67">
        <v>0.1</v>
      </c>
      <c r="G60" s="61">
        <f>ROUND($C60*F60,2)</f>
        <v>4241.3999999999996</v>
      </c>
      <c r="H60" s="67">
        <v>0.25</v>
      </c>
      <c r="I60" s="61">
        <f t="shared" si="14"/>
        <v>10603.5</v>
      </c>
      <c r="J60" s="67">
        <v>0.2</v>
      </c>
      <c r="K60" s="61">
        <f>ROUND($C60*J60,2)</f>
        <v>8482.7999999999993</v>
      </c>
      <c r="L60" s="67">
        <v>0.25</v>
      </c>
      <c r="M60" s="61">
        <f t="shared" si="15"/>
        <v>10603.5</v>
      </c>
      <c r="N60" s="67">
        <f t="shared" si="16"/>
        <v>0</v>
      </c>
      <c r="O60" s="61">
        <f t="shared" si="17"/>
        <v>0</v>
      </c>
      <c r="P60" s="154" t="str">
        <f t="shared" si="18"/>
        <v/>
      </c>
    </row>
    <row r="61" spans="2:16" x14ac:dyDescent="0.2">
      <c r="B61" s="51" t="str">
        <f t="shared" si="11"/>
        <v>Maintenance</v>
      </c>
      <c r="C61" s="53">
        <f t="shared" si="12"/>
        <v>212069</v>
      </c>
      <c r="D61" s="67">
        <v>0.25</v>
      </c>
      <c r="E61" s="61">
        <f t="shared" si="13"/>
        <v>53017.25</v>
      </c>
      <c r="F61" s="67">
        <v>0.15</v>
      </c>
      <c r="G61" s="61">
        <f>ROUND($C61*F61,2)</f>
        <v>31810.35</v>
      </c>
      <c r="H61" s="67">
        <v>0.15</v>
      </c>
      <c r="I61" s="61">
        <f t="shared" si="14"/>
        <v>31810.35</v>
      </c>
      <c r="J61" s="67">
        <v>0.2</v>
      </c>
      <c r="K61" s="61">
        <f>ROUND($C61*J61,2)</f>
        <v>42413.8</v>
      </c>
      <c r="L61" s="67">
        <v>0.25</v>
      </c>
      <c r="M61" s="61">
        <f t="shared" si="15"/>
        <v>53017.25</v>
      </c>
      <c r="N61" s="67">
        <f t="shared" si="16"/>
        <v>0</v>
      </c>
      <c r="O61" s="61">
        <f t="shared" si="17"/>
        <v>0</v>
      </c>
      <c r="P61" s="154" t="str">
        <f t="shared" si="18"/>
        <v/>
      </c>
    </row>
    <row r="62" spans="2:16" x14ac:dyDescent="0.2">
      <c r="B62" s="51" t="str">
        <f t="shared" si="11"/>
        <v>Shipping</v>
      </c>
      <c r="C62" s="53">
        <f t="shared" si="12"/>
        <v>664483</v>
      </c>
      <c r="D62" s="67">
        <v>0.25</v>
      </c>
      <c r="E62" s="61">
        <f t="shared" si="13"/>
        <v>166120.75</v>
      </c>
      <c r="F62" s="67">
        <v>0.1</v>
      </c>
      <c r="G62" s="61">
        <f>ROUND($C62*F62,2)</f>
        <v>66448.3</v>
      </c>
      <c r="H62" s="67">
        <v>0.1</v>
      </c>
      <c r="I62" s="61">
        <f t="shared" si="14"/>
        <v>66448.3</v>
      </c>
      <c r="J62" s="67">
        <v>0.2</v>
      </c>
      <c r="K62" s="61">
        <f t="shared" ref="K62" si="19">ROUND($C62*J62,2)</f>
        <v>132896.6</v>
      </c>
      <c r="L62" s="67">
        <v>0.15</v>
      </c>
      <c r="M62" s="61">
        <f t="shared" si="15"/>
        <v>99672.45</v>
      </c>
      <c r="N62" s="67">
        <f t="shared" si="16"/>
        <v>0.20000000000000007</v>
      </c>
      <c r="O62" s="61">
        <f t="shared" si="17"/>
        <v>132896.6</v>
      </c>
      <c r="P62" s="154" t="str">
        <f t="shared" si="18"/>
        <v/>
      </c>
    </row>
    <row r="63" spans="2:16" x14ac:dyDescent="0.2">
      <c r="B63" s="51" t="str">
        <f t="shared" si="11"/>
        <v>Depreciation</v>
      </c>
      <c r="C63" s="53">
        <f t="shared" si="12"/>
        <v>342845</v>
      </c>
      <c r="D63" s="67">
        <v>0.2</v>
      </c>
      <c r="E63" s="61">
        <f t="shared" si="13"/>
        <v>68569</v>
      </c>
      <c r="F63" s="67">
        <v>0.15</v>
      </c>
      <c r="G63" s="61">
        <f t="shared" ref="G63" si="20">ROUND($C63*F63,2)</f>
        <v>51426.75</v>
      </c>
      <c r="H63" s="67">
        <v>0.25</v>
      </c>
      <c r="I63" s="61">
        <f t="shared" si="14"/>
        <v>85711.25</v>
      </c>
      <c r="J63" s="67">
        <v>0.3</v>
      </c>
      <c r="K63" s="61">
        <f>ROUND($C63*J63,2)</f>
        <v>102853.5</v>
      </c>
      <c r="L63" s="67">
        <v>0.1</v>
      </c>
      <c r="M63" s="61">
        <f t="shared" si="15"/>
        <v>34284.5</v>
      </c>
      <c r="N63" s="67">
        <f t="shared" si="16"/>
        <v>0</v>
      </c>
      <c r="O63" s="61">
        <f t="shared" si="17"/>
        <v>0</v>
      </c>
      <c r="P63" s="154" t="str">
        <f t="shared" si="18"/>
        <v/>
      </c>
    </row>
    <row r="64" spans="2:16" x14ac:dyDescent="0.2">
      <c r="B64" s="51" t="str">
        <f t="shared" si="11"/>
        <v>Utilities</v>
      </c>
      <c r="C64" s="53">
        <f t="shared" si="12"/>
        <v>307500</v>
      </c>
      <c r="D64" s="67">
        <v>0.15</v>
      </c>
      <c r="E64" s="61">
        <f t="shared" si="13"/>
        <v>46125</v>
      </c>
      <c r="F64" s="67">
        <v>0.2</v>
      </c>
      <c r="G64" s="61">
        <f>ROUND($C64*F64,2)</f>
        <v>61500</v>
      </c>
      <c r="H64" s="67">
        <v>0.1</v>
      </c>
      <c r="I64" s="61">
        <f t="shared" si="14"/>
        <v>30750</v>
      </c>
      <c r="J64" s="67">
        <v>0.15</v>
      </c>
      <c r="K64" s="61">
        <f>ROUND($C64*J64,2)</f>
        <v>46125</v>
      </c>
      <c r="L64" s="67">
        <v>0.2</v>
      </c>
      <c r="M64" s="61">
        <f t="shared" si="15"/>
        <v>61500</v>
      </c>
      <c r="N64" s="67">
        <f t="shared" si="16"/>
        <v>0.19999999999999996</v>
      </c>
      <c r="O64" s="61">
        <f t="shared" si="17"/>
        <v>61500</v>
      </c>
      <c r="P64" s="154" t="str">
        <f t="shared" si="18"/>
        <v/>
      </c>
    </row>
    <row r="65" spans="2:16" x14ac:dyDescent="0.2">
      <c r="B65" s="51" t="str">
        <f t="shared" si="11"/>
        <v>Lease expense</v>
      </c>
      <c r="C65" s="55">
        <f t="shared" si="12"/>
        <v>523103</v>
      </c>
      <c r="D65" s="68">
        <v>0.2</v>
      </c>
      <c r="E65" s="61">
        <f t="shared" si="13"/>
        <v>104620.6</v>
      </c>
      <c r="F65" s="68">
        <v>0.15</v>
      </c>
      <c r="G65" s="61">
        <f>ROUND($C65*F65,2)</f>
        <v>78465.45</v>
      </c>
      <c r="H65" s="68">
        <v>0.2</v>
      </c>
      <c r="I65" s="61">
        <f t="shared" si="14"/>
        <v>104620.6</v>
      </c>
      <c r="J65" s="68">
        <v>0.25</v>
      </c>
      <c r="K65" s="61">
        <f>ROUND($C65*J65,2)</f>
        <v>130775.75</v>
      </c>
      <c r="L65" s="68">
        <v>0.2</v>
      </c>
      <c r="M65" s="61">
        <f t="shared" si="15"/>
        <v>104620.6</v>
      </c>
      <c r="N65" s="68">
        <f t="shared" si="16"/>
        <v>0</v>
      </c>
      <c r="O65" s="61">
        <f t="shared" si="17"/>
        <v>0</v>
      </c>
      <c r="P65" s="154" t="str">
        <f t="shared" si="18"/>
        <v/>
      </c>
    </row>
    <row r="66" spans="2:16" ht="13.5" thickBot="1" x14ac:dyDescent="0.25">
      <c r="B66" s="47" t="s">
        <v>32</v>
      </c>
      <c r="C66" s="48"/>
      <c r="D66" s="5"/>
      <c r="E66" s="69">
        <f>SUM(E$49:E$65)</f>
        <v>617297.6</v>
      </c>
      <c r="F66" s="5"/>
      <c r="G66" s="69">
        <f>SUM(G$49:G$65)</f>
        <v>1896534.55</v>
      </c>
      <c r="H66" s="5"/>
      <c r="I66" s="69">
        <f>SUM(I$49:I$65)</f>
        <v>1772463.6</v>
      </c>
      <c r="J66" s="5"/>
      <c r="K66" s="69">
        <f>SUM(K$49:K$65)</f>
        <v>607047.55000000005</v>
      </c>
      <c r="L66" s="5"/>
      <c r="M66" s="69">
        <f>SUM(M$49:M$65)</f>
        <v>500836.35</v>
      </c>
      <c r="N66" s="5"/>
      <c r="O66" s="69">
        <f>SUM(O$49:O$65)</f>
        <v>290544.34999999998</v>
      </c>
    </row>
    <row r="67" spans="2:16" ht="13.5" thickTop="1" x14ac:dyDescent="0.2"/>
    <row r="68" spans="2:16" s="2" customFormat="1" x14ac:dyDescent="0.2">
      <c r="B68" s="45" t="s">
        <v>33</v>
      </c>
      <c r="C68" s="1" t="s">
        <v>70</v>
      </c>
    </row>
    <row r="69" spans="2:16" s="2" customFormat="1" x14ac:dyDescent="0.2">
      <c r="B69" s="43" t="str">
        <f>$C37</f>
        <v>Number of products designed</v>
      </c>
      <c r="C69" s="3"/>
      <c r="D69" s="3"/>
      <c r="E69" s="70">
        <f>'Item Information'!$H$22</f>
        <v>2</v>
      </c>
      <c r="F69" s="3"/>
      <c r="G69" s="3"/>
      <c r="H69" s="3"/>
      <c r="I69" s="3"/>
      <c r="J69" s="3"/>
      <c r="K69" s="3"/>
      <c r="L69" s="3"/>
      <c r="M69" s="3"/>
    </row>
    <row r="70" spans="2:16" s="2" customFormat="1" x14ac:dyDescent="0.2">
      <c r="B70" s="43" t="str">
        <f>$C38</f>
        <v>Number of POs</v>
      </c>
      <c r="C70" s="3"/>
      <c r="D70" s="3"/>
      <c r="E70" s="3"/>
      <c r="F70" s="3"/>
      <c r="G70" s="70">
        <f>'Item Information'!$H$23</f>
        <v>672</v>
      </c>
      <c r="H70" s="3"/>
      <c r="I70" s="3"/>
      <c r="J70" s="3"/>
      <c r="K70" s="3"/>
      <c r="L70" s="3"/>
      <c r="M70" s="3"/>
    </row>
    <row r="71" spans="2:16" s="2" customFormat="1" x14ac:dyDescent="0.2">
      <c r="B71" s="43" t="str">
        <f>$C39</f>
        <v>Number of manufacturing batches</v>
      </c>
      <c r="C71" s="3"/>
      <c r="D71" s="3"/>
      <c r="E71" s="3"/>
      <c r="F71" s="3"/>
      <c r="G71" s="3"/>
      <c r="H71" s="3"/>
      <c r="I71" s="70">
        <f>'Item Information'!$H$24</f>
        <v>170</v>
      </c>
      <c r="J71" s="3"/>
      <c r="K71" s="3"/>
      <c r="L71" s="3"/>
      <c r="M71" s="3"/>
    </row>
    <row r="72" spans="2:16" s="2" customFormat="1" x14ac:dyDescent="0.2">
      <c r="B72" s="43" t="str">
        <f>$C40</f>
        <v>Number of shipments</v>
      </c>
      <c r="C72" s="3"/>
      <c r="D72" s="3"/>
      <c r="E72" s="3"/>
      <c r="F72" s="3"/>
      <c r="G72" s="3"/>
      <c r="H72" s="3"/>
      <c r="I72" s="3"/>
      <c r="J72" s="3"/>
      <c r="K72" s="70">
        <f>'Item Information'!$H$25</f>
        <v>154</v>
      </c>
      <c r="L72" s="3"/>
      <c r="M72" s="3"/>
    </row>
    <row r="73" spans="2:16" s="2" customFormat="1" x14ac:dyDescent="0.2">
      <c r="B73" s="43" t="str">
        <f>$C41</f>
        <v>Number of customers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70">
        <f>'Item Information'!$H$26</f>
        <v>35</v>
      </c>
    </row>
    <row r="74" spans="2:16" ht="13.5" thickBot="1" x14ac:dyDescent="0.25">
      <c r="B74" s="47" t="s">
        <v>34</v>
      </c>
      <c r="C74" s="8"/>
      <c r="D74" s="8"/>
      <c r="E74" s="71">
        <f>ROUND(E$66/E$69,2)</f>
        <v>308648.8</v>
      </c>
      <c r="F74" s="8"/>
      <c r="G74" s="71">
        <f>ROUND(G$66/G$70,2)</f>
        <v>2822.22</v>
      </c>
      <c r="H74" s="8"/>
      <c r="I74" s="71">
        <f>ROUND(I$66/I$71,2)</f>
        <v>10426.26</v>
      </c>
      <c r="J74" s="8"/>
      <c r="K74" s="164">
        <f>ROUND(K$66/K$72,2)</f>
        <v>3941.87</v>
      </c>
      <c r="L74" s="8"/>
      <c r="M74" s="164">
        <f>ROUND(M$66/M$73,2)</f>
        <v>14309.61</v>
      </c>
      <c r="N74" s="8"/>
      <c r="O74" s="71">
        <f>$O$66</f>
        <v>290544.34999999998</v>
      </c>
      <c r="P74" s="1" t="s">
        <v>79</v>
      </c>
    </row>
    <row r="75" spans="2:16" ht="13.5" thickTop="1" x14ac:dyDescent="0.2"/>
    <row r="78" spans="2:16" x14ac:dyDescent="0.2">
      <c r="B78" s="1" t="s">
        <v>57</v>
      </c>
    </row>
    <row r="79" spans="2:16" x14ac:dyDescent="0.2">
      <c r="B79" s="9" t="s">
        <v>73</v>
      </c>
    </row>
    <row r="80" spans="2:16" x14ac:dyDescent="0.2">
      <c r="B80" s="9" t="s">
        <v>75</v>
      </c>
    </row>
    <row r="81" spans="2:2" x14ac:dyDescent="0.2">
      <c r="B81" s="1" t="s">
        <v>58</v>
      </c>
    </row>
    <row r="82" spans="2:2" x14ac:dyDescent="0.2">
      <c r="B82" s="9"/>
    </row>
  </sheetData>
  <mergeCells count="14">
    <mergeCell ref="B2:D2"/>
    <mergeCell ref="B4:D5"/>
    <mergeCell ref="L46:M46"/>
    <mergeCell ref="N46:O46"/>
    <mergeCell ref="D46:E46"/>
    <mergeCell ref="F46:G46"/>
    <mergeCell ref="H46:I46"/>
    <mergeCell ref="J46:K46"/>
    <mergeCell ref="C37:D37"/>
    <mergeCell ref="C36:D36"/>
    <mergeCell ref="C41:D41"/>
    <mergeCell ref="C40:D40"/>
    <mergeCell ref="C39:D39"/>
    <mergeCell ref="C38:D38"/>
  </mergeCells>
  <phoneticPr fontId="8" type="noConversion"/>
  <pageMargins left="0.7" right="0.7" top="0.75" bottom="0.75" header="0.3" footer="0.3"/>
  <pageSetup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Executive Summary</vt:lpstr>
      <vt:lpstr>ChartData</vt:lpstr>
      <vt:lpstr>Item Information</vt:lpstr>
      <vt:lpstr>Activity Information</vt:lpstr>
      <vt:lpstr>'Activity Information'!Print_Area</vt:lpstr>
      <vt:lpstr>'Executive Summary'!Print_Area</vt:lpstr>
      <vt:lpstr>'Item Information'!Print_Area</vt:lpstr>
    </vt:vector>
  </TitlesOfParts>
  <Company>BG Products,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Burnett</dc:creator>
  <cp:lastModifiedBy>Шамаев Иван</cp:lastModifiedBy>
  <dcterms:created xsi:type="dcterms:W3CDTF">2010-05-25T21:59:39Z</dcterms:created>
  <dcterms:modified xsi:type="dcterms:W3CDTF">2012-11-20T14:39:24Z</dcterms:modified>
</cp:coreProperties>
</file>